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charts/chart38.xml" ContentType="application/vnd.openxmlformats-officedocument.drawingml.chart+xml"/>
  <Override PartName="/xl/charts/style38.xml" ContentType="application/vnd.ms-office.chartstyle+xml"/>
  <Override PartName="/xl/charts/colors38.xml" ContentType="application/vnd.ms-office.chartcolorstyle+xml"/>
  <Override PartName="/xl/charts/chart39.xml" ContentType="application/vnd.openxmlformats-officedocument.drawingml.chart+xml"/>
  <Override PartName="/xl/charts/style39.xml" ContentType="application/vnd.ms-office.chartstyle+xml"/>
  <Override PartName="/xl/charts/colors39.xml" ContentType="application/vnd.ms-office.chartcolorstyle+xml"/>
  <Override PartName="/xl/charts/chart40.xml" ContentType="application/vnd.openxmlformats-officedocument.drawingml.chart+xml"/>
  <Override PartName="/xl/charts/style40.xml" ContentType="application/vnd.ms-office.chartstyle+xml"/>
  <Override PartName="/xl/charts/colors40.xml" ContentType="application/vnd.ms-office.chartcolorstyle+xml"/>
  <Override PartName="/xl/charts/chart41.xml" ContentType="application/vnd.openxmlformats-officedocument.drawingml.chart+xml"/>
  <Override PartName="/xl/charts/style41.xml" ContentType="application/vnd.ms-office.chartstyle+xml"/>
  <Override PartName="/xl/charts/colors41.xml" ContentType="application/vnd.ms-office.chartcolorstyle+xml"/>
  <Override PartName="/xl/charts/chart42.xml" ContentType="application/vnd.openxmlformats-officedocument.drawingml.chart+xml"/>
  <Override PartName="/xl/charts/style42.xml" ContentType="application/vnd.ms-office.chartstyle+xml"/>
  <Override PartName="/xl/charts/colors42.xml" ContentType="application/vnd.ms-office.chartcolorstyle+xml"/>
  <Override PartName="/xl/charts/chart43.xml" ContentType="application/vnd.openxmlformats-officedocument.drawingml.chart+xml"/>
  <Override PartName="/xl/charts/style43.xml" ContentType="application/vnd.ms-office.chartstyle+xml"/>
  <Override PartName="/xl/charts/colors43.xml" ContentType="application/vnd.ms-office.chartcolorstyle+xml"/>
  <Override PartName="/xl/charts/chart44.xml" ContentType="application/vnd.openxmlformats-officedocument.drawingml.chart+xml"/>
  <Override PartName="/xl/charts/style44.xml" ContentType="application/vnd.ms-office.chartstyle+xml"/>
  <Override PartName="/xl/charts/colors44.xml" ContentType="application/vnd.ms-office.chartcolorstyle+xml"/>
  <Override PartName="/xl/charts/chart45.xml" ContentType="application/vnd.openxmlformats-officedocument.drawingml.chart+xml"/>
  <Override PartName="/xl/charts/style45.xml" ContentType="application/vnd.ms-office.chartstyle+xml"/>
  <Override PartName="/xl/charts/colors45.xml" ContentType="application/vnd.ms-office.chartcolorstyle+xml"/>
  <Override PartName="/xl/charts/chart46.xml" ContentType="application/vnd.openxmlformats-officedocument.drawingml.chart+xml"/>
  <Override PartName="/xl/charts/style46.xml" ContentType="application/vnd.ms-office.chartstyle+xml"/>
  <Override PartName="/xl/charts/colors46.xml" ContentType="application/vnd.ms-office.chartcolorstyle+xml"/>
  <Override PartName="/xl/charts/chart47.xml" ContentType="application/vnd.openxmlformats-officedocument.drawingml.chart+xml"/>
  <Override PartName="/xl/charts/style47.xml" ContentType="application/vnd.ms-office.chartstyle+xml"/>
  <Override PartName="/xl/charts/colors47.xml" ContentType="application/vnd.ms-office.chartcolorstyle+xml"/>
  <Override PartName="/xl/charts/chart48.xml" ContentType="application/vnd.openxmlformats-officedocument.drawingml.chart+xml"/>
  <Override PartName="/xl/charts/style48.xml" ContentType="application/vnd.ms-office.chartstyle+xml"/>
  <Override PartName="/xl/charts/colors48.xml" ContentType="application/vnd.ms-office.chartcolorstyle+xml"/>
  <Override PartName="/xl/charts/chart49.xml" ContentType="application/vnd.openxmlformats-officedocument.drawingml.chart+xml"/>
  <Override PartName="/xl/charts/style49.xml" ContentType="application/vnd.ms-office.chartstyle+xml"/>
  <Override PartName="/xl/charts/colors49.xml" ContentType="application/vnd.ms-office.chartcolorstyle+xml"/>
  <Override PartName="/xl/charts/chart50.xml" ContentType="application/vnd.openxmlformats-officedocument.drawingml.chart+xml"/>
  <Override PartName="/xl/charts/style50.xml" ContentType="application/vnd.ms-office.chartstyle+xml"/>
  <Override PartName="/xl/charts/colors50.xml" ContentType="application/vnd.ms-office.chartcolorstyle+xml"/>
  <Override PartName="/xl/charts/chart51.xml" ContentType="application/vnd.openxmlformats-officedocument.drawingml.chart+xml"/>
  <Override PartName="/xl/charts/style51.xml" ContentType="application/vnd.ms-office.chartstyle+xml"/>
  <Override PartName="/xl/charts/colors51.xml" ContentType="application/vnd.ms-office.chartcolorstyle+xml"/>
  <Override PartName="/xl/charts/chart52.xml" ContentType="application/vnd.openxmlformats-officedocument.drawingml.chart+xml"/>
  <Override PartName="/xl/charts/style52.xml" ContentType="application/vnd.ms-office.chartstyle+xml"/>
  <Override PartName="/xl/charts/colors52.xml" ContentType="application/vnd.ms-office.chartcolorstyle+xml"/>
  <Override PartName="/xl/charts/chart53.xml" ContentType="application/vnd.openxmlformats-officedocument.drawingml.chart+xml"/>
  <Override PartName="/xl/charts/style53.xml" ContentType="application/vnd.ms-office.chartstyle+xml"/>
  <Override PartName="/xl/charts/colors53.xml" ContentType="application/vnd.ms-office.chartcolorstyle+xml"/>
  <Override PartName="/xl/charts/chart54.xml" ContentType="application/vnd.openxmlformats-officedocument.drawingml.chart+xml"/>
  <Override PartName="/xl/charts/style54.xml" ContentType="application/vnd.ms-office.chartstyle+xml"/>
  <Override PartName="/xl/charts/colors54.xml" ContentType="application/vnd.ms-office.chartcolorstyle+xml"/>
  <Override PartName="/xl/charts/chart55.xml" ContentType="application/vnd.openxmlformats-officedocument.drawingml.chart+xml"/>
  <Override PartName="/xl/charts/style55.xml" ContentType="application/vnd.ms-office.chartstyle+xml"/>
  <Override PartName="/xl/charts/colors55.xml" ContentType="application/vnd.ms-office.chartcolorstyle+xml"/>
  <Override PartName="/xl/charts/chart56.xml" ContentType="application/vnd.openxmlformats-officedocument.drawingml.chart+xml"/>
  <Override PartName="/xl/charts/style56.xml" ContentType="application/vnd.ms-office.chartstyle+xml"/>
  <Override PartName="/xl/charts/colors56.xml" ContentType="application/vnd.ms-office.chartcolorstyle+xml"/>
  <Override PartName="/xl/drawings/drawing12.xml" ContentType="application/vnd.openxmlformats-officedocument.drawing+xml"/>
  <Override PartName="/xl/charts/chart57.xml" ContentType="application/vnd.openxmlformats-officedocument.drawingml.chart+xml"/>
  <Override PartName="/xl/charts/style57.xml" ContentType="application/vnd.ms-office.chartstyle+xml"/>
  <Override PartName="/xl/charts/colors57.xml" ContentType="application/vnd.ms-office.chartcolorstyle+xml"/>
  <Override PartName="/xl/charts/chart58.xml" ContentType="application/vnd.openxmlformats-officedocument.drawingml.chart+xml"/>
  <Override PartName="/xl/charts/style58.xml" ContentType="application/vnd.ms-office.chartstyle+xml"/>
  <Override PartName="/xl/charts/colors58.xml" ContentType="application/vnd.ms-office.chartcolorstyle+xml"/>
  <Override PartName="/xl/comments2.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02"/>
  <workbookPr codeName="ThisWorkbook" defaultThemeVersion="166925"/>
  <mc:AlternateContent xmlns:mc="http://schemas.openxmlformats.org/markup-compatibility/2006">
    <mc:Choice Requires="x15">
      <x15ac:absPath xmlns:x15ac="http://schemas.microsoft.com/office/spreadsheetml/2010/11/ac" url="https://carcglgov.sharepoint.com/sites/NYStretchCoordination/Shared Documents/Prototypes/Prototypes/Scorecards/"/>
    </mc:Choice>
  </mc:AlternateContent>
  <xr:revisionPtr revIDLastSave="3755" documentId="8_{F15048A4-8D5D-44F0-B83C-D5EA7CDD6668}" xr6:coauthVersionLast="47" xr6:coauthVersionMax="47" xr10:uidLastSave="{270B34BB-9AB6-47BC-9193-CE91F5D51B3F}"/>
  <bookViews>
    <workbookView xWindow="24" yWindow="768" windowWidth="23016" windowHeight="13080" tabRatio="890" firstSheet="1" activeTab="1" xr2:uid="{EAC23EE3-0CA0-4FF8-990D-9B21A59FA3E0}"/>
  </bookViews>
  <sheets>
    <sheet name="Notes" sheetId="23" r:id="rId1"/>
    <sheet name="Prototype" sheetId="2" r:id="rId2"/>
    <sheet name="Zones" sheetId="13" r:id="rId3"/>
    <sheet name="Envelope" sheetId="1" r:id="rId4"/>
    <sheet name="HVAC System" sheetId="14" r:id="rId5"/>
    <sheet name="Thermostat" sheetId="30" r:id="rId6"/>
    <sheet name="Ventilation" sheetId="18" r:id="rId7"/>
    <sheet name="Water Heater" sheetId="7" r:id="rId8"/>
    <sheet name="Interior Lights" sheetId="25" r:id="rId9"/>
    <sheet name="Ext Lighting" sheetId="9" r:id="rId10"/>
    <sheet name="Equipment" sheetId="29" r:id="rId11"/>
    <sheet name="Schedules" sheetId="28" r:id="rId12"/>
    <sheet name="Energy Usage" sheetId="20" r:id="rId13"/>
    <sheet name="Weights" sheetId="21" r:id="rId14"/>
    <sheet name="PV" sheetId="27" state="hidden" r:id="rId15"/>
    <sheet name="EV Charger" sheetId="22" state="hidden" r:id="rId16"/>
    <sheet name="Data" sheetId="31" state="hidden" r:id="rId17"/>
  </sheets>
  <definedNames>
    <definedName name="_xlnm._FilterDatabase" localSheetId="16" hidden="1">Data!$J$1:$L$1</definedName>
    <definedName name="_xlnm._FilterDatabase" localSheetId="3" hidden="1">'HVAC System'!#REF!</definedName>
    <definedName name="_xlnm._FilterDatabase" localSheetId="2" hidden="1">Zones!$B$1:$B$57</definedName>
    <definedName name="nonparticipating_forecastzone_scale_factor">'Energy Usage'!#REF!</definedName>
    <definedName name="Space_Function">Data!$A$2:$A$76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3" i="20" l="1"/>
  <c r="K18" i="20" l="1"/>
  <c r="J18" i="20"/>
  <c r="K17" i="20"/>
  <c r="J17" i="20"/>
  <c r="M17" i="20" s="1"/>
  <c r="K16" i="20"/>
  <c r="J16" i="20"/>
  <c r="M16" i="20" s="1"/>
  <c r="K15" i="20"/>
  <c r="J15" i="20"/>
  <c r="M15" i="20" s="1"/>
  <c r="K14" i="20"/>
  <c r="J14" i="20"/>
  <c r="M14" i="20" s="1"/>
  <c r="K13" i="20"/>
  <c r="J13" i="20"/>
  <c r="M13" i="20" s="1"/>
  <c r="K12" i="20"/>
  <c r="J12" i="20"/>
  <c r="K11" i="20"/>
  <c r="J11" i="20"/>
  <c r="M11" i="20" s="1"/>
  <c r="K10" i="20"/>
  <c r="J10" i="20"/>
  <c r="K9" i="20"/>
  <c r="J9" i="20"/>
  <c r="K8" i="20"/>
  <c r="J8" i="20"/>
  <c r="M8" i="20" s="1"/>
  <c r="K7" i="20"/>
  <c r="J7" i="20"/>
  <c r="K6" i="20"/>
  <c r="J6" i="20"/>
  <c r="K5" i="20"/>
  <c r="J5" i="20"/>
  <c r="M5" i="20" s="1"/>
  <c r="K4" i="20"/>
  <c r="J4" i="20"/>
  <c r="M4" i="20" s="1"/>
  <c r="K3" i="20"/>
  <c r="L18" i="20" l="1"/>
  <c r="M18" i="20"/>
  <c r="L9" i="20"/>
  <c r="M9" i="20"/>
  <c r="L12" i="20"/>
  <c r="M12" i="20"/>
  <c r="L6" i="20"/>
  <c r="M6" i="20"/>
  <c r="L7" i="20"/>
  <c r="M7" i="20"/>
  <c r="L10" i="20"/>
  <c r="M10" i="20"/>
  <c r="L3" i="20"/>
  <c r="M3" i="20"/>
  <c r="L16" i="20"/>
  <c r="L13" i="20"/>
  <c r="L17" i="20"/>
  <c r="L15" i="20"/>
  <c r="L11" i="20"/>
  <c r="L14" i="20"/>
  <c r="L8" i="20"/>
  <c r="L4" i="20"/>
  <c r="L5" i="20"/>
  <c r="E33" i="18"/>
  <c r="H22" i="28"/>
  <c r="F212" i="28"/>
  <c r="AC192" i="28"/>
  <c r="AC191" i="28"/>
  <c r="AC190" i="28"/>
  <c r="G190" i="28"/>
  <c r="H190" i="28"/>
  <c r="I190" i="28"/>
  <c r="J190" i="28"/>
  <c r="K190" i="28"/>
  <c r="L190" i="28"/>
  <c r="M190" i="28"/>
  <c r="N190" i="28"/>
  <c r="O190" i="28"/>
  <c r="P190" i="28"/>
  <c r="Q190" i="28"/>
  <c r="R190" i="28"/>
  <c r="S190" i="28"/>
  <c r="T190" i="28"/>
  <c r="U190" i="28"/>
  <c r="V190" i="28"/>
  <c r="W190" i="28"/>
  <c r="X190" i="28"/>
  <c r="Y190" i="28"/>
  <c r="Z190" i="28"/>
  <c r="AA190" i="28"/>
  <c r="AB190" i="28"/>
  <c r="G191" i="28"/>
  <c r="H191" i="28"/>
  <c r="I191" i="28"/>
  <c r="J191" i="28"/>
  <c r="K191" i="28"/>
  <c r="L191" i="28"/>
  <c r="M191" i="28"/>
  <c r="N191" i="28"/>
  <c r="O191" i="28"/>
  <c r="P191" i="28"/>
  <c r="Q191" i="28"/>
  <c r="R191" i="28"/>
  <c r="S191" i="28"/>
  <c r="T191" i="28"/>
  <c r="U191" i="28"/>
  <c r="V191" i="28"/>
  <c r="W191" i="28"/>
  <c r="X191" i="28"/>
  <c r="Y191" i="28"/>
  <c r="Z191" i="28"/>
  <c r="AA191" i="28"/>
  <c r="AB191" i="28"/>
  <c r="G192" i="28"/>
  <c r="H192" i="28"/>
  <c r="I192" i="28"/>
  <c r="J192" i="28"/>
  <c r="K192" i="28"/>
  <c r="L192" i="28"/>
  <c r="M192" i="28"/>
  <c r="N192" i="28"/>
  <c r="O192" i="28"/>
  <c r="P192" i="28"/>
  <c r="Q192" i="28"/>
  <c r="R192" i="28"/>
  <c r="S192" i="28"/>
  <c r="T192" i="28"/>
  <c r="U192" i="28"/>
  <c r="V192" i="28"/>
  <c r="W192" i="28"/>
  <c r="X192" i="28"/>
  <c r="Y192" i="28"/>
  <c r="Z192" i="28"/>
  <c r="AA192" i="28"/>
  <c r="AB192" i="28"/>
  <c r="F192" i="28"/>
  <c r="F191" i="28"/>
  <c r="F190" i="28"/>
  <c r="AC189" i="28"/>
  <c r="AC188" i="28"/>
  <c r="AC187" i="28"/>
  <c r="G187" i="28"/>
  <c r="H187" i="28"/>
  <c r="I187" i="28"/>
  <c r="J187" i="28"/>
  <c r="K187" i="28"/>
  <c r="L187" i="28"/>
  <c r="M187" i="28"/>
  <c r="N187" i="28"/>
  <c r="O187" i="28"/>
  <c r="P187" i="28"/>
  <c r="Q187" i="28"/>
  <c r="R187" i="28"/>
  <c r="S187" i="28"/>
  <c r="T187" i="28"/>
  <c r="U187" i="28"/>
  <c r="V187" i="28"/>
  <c r="W187" i="28"/>
  <c r="X187" i="28"/>
  <c r="Y187" i="28"/>
  <c r="Z187" i="28"/>
  <c r="AA187" i="28"/>
  <c r="AB187" i="28"/>
  <c r="G188" i="28"/>
  <c r="H188" i="28"/>
  <c r="I188" i="28"/>
  <c r="J188" i="28"/>
  <c r="K188" i="28"/>
  <c r="L188" i="28"/>
  <c r="M188" i="28"/>
  <c r="N188" i="28"/>
  <c r="O188" i="28"/>
  <c r="P188" i="28"/>
  <c r="Q188" i="28"/>
  <c r="R188" i="28"/>
  <c r="S188" i="28"/>
  <c r="T188" i="28"/>
  <c r="U188" i="28"/>
  <c r="V188" i="28"/>
  <c r="W188" i="28"/>
  <c r="X188" i="28"/>
  <c r="Y188" i="28"/>
  <c r="Z188" i="28"/>
  <c r="AA188" i="28"/>
  <c r="AB188" i="28"/>
  <c r="G189" i="28"/>
  <c r="H189" i="28"/>
  <c r="I189" i="28"/>
  <c r="J189" i="28"/>
  <c r="K189" i="28"/>
  <c r="L189" i="28"/>
  <c r="M189" i="28"/>
  <c r="N189" i="28"/>
  <c r="O189" i="28"/>
  <c r="P189" i="28"/>
  <c r="Q189" i="28"/>
  <c r="R189" i="28"/>
  <c r="S189" i="28"/>
  <c r="T189" i="28"/>
  <c r="U189" i="28"/>
  <c r="V189" i="28"/>
  <c r="W189" i="28"/>
  <c r="X189" i="28"/>
  <c r="Y189" i="28"/>
  <c r="Z189" i="28"/>
  <c r="AA189" i="28"/>
  <c r="AB189" i="28"/>
  <c r="F189" i="28"/>
  <c r="F188" i="28"/>
  <c r="F187" i="28"/>
  <c r="B4" i="25" l="1"/>
  <c r="B11" i="25"/>
  <c r="E8" i="25"/>
  <c r="A1" i="25"/>
  <c r="E4" i="25"/>
  <c r="E16" i="25"/>
  <c r="A66" i="28"/>
  <c r="H29" i="29" l="1"/>
  <c r="E21" i="29"/>
  <c r="C16" i="29"/>
  <c r="P17" i="14"/>
  <c r="A1" i="13" l="1"/>
  <c r="B7" i="28" l="1"/>
  <c r="A7" i="28"/>
  <c r="AC254" i="28"/>
  <c r="G252" i="28"/>
  <c r="A5" i="18" l="1"/>
  <c r="G25" i="28"/>
  <c r="H25" i="28"/>
  <c r="I25" i="28"/>
  <c r="J25" i="28"/>
  <c r="K25" i="28"/>
  <c r="L25" i="28"/>
  <c r="M25" i="28"/>
  <c r="N25" i="28"/>
  <c r="O25" i="28"/>
  <c r="P25" i="28"/>
  <c r="Q25" i="28"/>
  <c r="R25" i="28"/>
  <c r="S25" i="28"/>
  <c r="T25" i="28"/>
  <c r="U25" i="28"/>
  <c r="V25" i="28"/>
  <c r="W25" i="28"/>
  <c r="X25" i="28"/>
  <c r="Y25" i="28"/>
  <c r="Z25" i="28"/>
  <c r="AA25" i="28"/>
  <c r="AB25" i="28"/>
  <c r="AC25" i="28"/>
  <c r="G26" i="28"/>
  <c r="H26" i="28"/>
  <c r="I26" i="28"/>
  <c r="J26" i="28"/>
  <c r="K26" i="28"/>
  <c r="L26" i="28"/>
  <c r="M26" i="28"/>
  <c r="N26" i="28"/>
  <c r="O26" i="28"/>
  <c r="P26" i="28"/>
  <c r="Q26" i="28"/>
  <c r="R26" i="28"/>
  <c r="S26" i="28"/>
  <c r="T26" i="28"/>
  <c r="U26" i="28"/>
  <c r="V26" i="28"/>
  <c r="W26" i="28"/>
  <c r="X26" i="28"/>
  <c r="Y26" i="28"/>
  <c r="Z26" i="28"/>
  <c r="AA26" i="28"/>
  <c r="AB26" i="28"/>
  <c r="AC26" i="28"/>
  <c r="G27" i="28"/>
  <c r="H27" i="28"/>
  <c r="I27" i="28"/>
  <c r="J27" i="28"/>
  <c r="K27" i="28"/>
  <c r="L27" i="28"/>
  <c r="M27" i="28"/>
  <c r="N27" i="28"/>
  <c r="O27" i="28"/>
  <c r="P27" i="28"/>
  <c r="Q27" i="28"/>
  <c r="R27" i="28"/>
  <c r="S27" i="28"/>
  <c r="T27" i="28"/>
  <c r="U27" i="28"/>
  <c r="V27" i="28"/>
  <c r="W27" i="28"/>
  <c r="X27" i="28"/>
  <c r="Y27" i="28"/>
  <c r="Z27" i="28"/>
  <c r="AA27" i="28"/>
  <c r="AB27" i="28"/>
  <c r="AC27" i="28"/>
  <c r="F26" i="28"/>
  <c r="F27" i="28"/>
  <c r="F25" i="28"/>
  <c r="G22" i="28"/>
  <c r="I22" i="28"/>
  <c r="J22" i="28"/>
  <c r="K22" i="28"/>
  <c r="L22" i="28"/>
  <c r="M22" i="28"/>
  <c r="N22" i="28"/>
  <c r="O22" i="28"/>
  <c r="P22" i="28"/>
  <c r="Q22" i="28"/>
  <c r="R22" i="28"/>
  <c r="S22" i="28"/>
  <c r="T22" i="28"/>
  <c r="U22" i="28"/>
  <c r="V22" i="28"/>
  <c r="W22" i="28"/>
  <c r="X22" i="28"/>
  <c r="Y22" i="28"/>
  <c r="Z22" i="28"/>
  <c r="AA22" i="28"/>
  <c r="AB22" i="28"/>
  <c r="AC22" i="28"/>
  <c r="G23" i="28"/>
  <c r="H23" i="28"/>
  <c r="I23" i="28"/>
  <c r="J23" i="28"/>
  <c r="K23" i="28"/>
  <c r="L23" i="28"/>
  <c r="M23" i="28"/>
  <c r="N23" i="28"/>
  <c r="O23" i="28"/>
  <c r="P23" i="28"/>
  <c r="Q23" i="28"/>
  <c r="R23" i="28"/>
  <c r="S23" i="28"/>
  <c r="T23" i="28"/>
  <c r="U23" i="28"/>
  <c r="V23" i="28"/>
  <c r="W23" i="28"/>
  <c r="X23" i="28"/>
  <c r="Y23" i="28"/>
  <c r="Z23" i="28"/>
  <c r="AA23" i="28"/>
  <c r="AB23" i="28"/>
  <c r="AC23" i="28"/>
  <c r="G24" i="28"/>
  <c r="H24" i="28"/>
  <c r="I24" i="28"/>
  <c r="J24" i="28"/>
  <c r="K24" i="28"/>
  <c r="L24" i="28"/>
  <c r="M24" i="28"/>
  <c r="N24" i="28"/>
  <c r="O24" i="28"/>
  <c r="P24" i="28"/>
  <c r="Q24" i="28"/>
  <c r="R24" i="28"/>
  <c r="S24" i="28"/>
  <c r="T24" i="28"/>
  <c r="U24" i="28"/>
  <c r="V24" i="28"/>
  <c r="W24" i="28"/>
  <c r="X24" i="28"/>
  <c r="Y24" i="28"/>
  <c r="Z24" i="28"/>
  <c r="AA24" i="28"/>
  <c r="AB24" i="28"/>
  <c r="AC24" i="28"/>
  <c r="F23" i="28"/>
  <c r="F24" i="28"/>
  <c r="F22" i="28"/>
  <c r="G19" i="28"/>
  <c r="H19" i="28"/>
  <c r="I19" i="28"/>
  <c r="J19" i="28"/>
  <c r="K19" i="28"/>
  <c r="L19" i="28"/>
  <c r="M19" i="28"/>
  <c r="N19" i="28"/>
  <c r="O19" i="28"/>
  <c r="P19" i="28"/>
  <c r="Q19" i="28"/>
  <c r="R19" i="28"/>
  <c r="S19" i="28"/>
  <c r="T19" i="28"/>
  <c r="U19" i="28"/>
  <c r="V19" i="28"/>
  <c r="W19" i="28"/>
  <c r="X19" i="28"/>
  <c r="Y19" i="28"/>
  <c r="Z19" i="28"/>
  <c r="AA19" i="28"/>
  <c r="AB19" i="28"/>
  <c r="AC19" i="28"/>
  <c r="G20" i="28"/>
  <c r="H20" i="28"/>
  <c r="I20" i="28"/>
  <c r="J20" i="28"/>
  <c r="K20" i="28"/>
  <c r="L20" i="28"/>
  <c r="M20" i="28"/>
  <c r="N20" i="28"/>
  <c r="O20" i="28"/>
  <c r="P20" i="28"/>
  <c r="Q20" i="28"/>
  <c r="R20" i="28"/>
  <c r="S20" i="28"/>
  <c r="T20" i="28"/>
  <c r="U20" i="28"/>
  <c r="V20" i="28"/>
  <c r="W20" i="28"/>
  <c r="X20" i="28"/>
  <c r="Y20" i="28"/>
  <c r="Z20" i="28"/>
  <c r="AA20" i="28"/>
  <c r="AB20" i="28"/>
  <c r="AC20" i="28"/>
  <c r="G21" i="28"/>
  <c r="H21" i="28"/>
  <c r="I21" i="28"/>
  <c r="J21" i="28"/>
  <c r="K21" i="28"/>
  <c r="L21" i="28"/>
  <c r="M21" i="28"/>
  <c r="N21" i="28"/>
  <c r="O21" i="28"/>
  <c r="P21" i="28"/>
  <c r="Q21" i="28"/>
  <c r="R21" i="28"/>
  <c r="S21" i="28"/>
  <c r="T21" i="28"/>
  <c r="U21" i="28"/>
  <c r="V21" i="28"/>
  <c r="W21" i="28"/>
  <c r="X21" i="28"/>
  <c r="Y21" i="28"/>
  <c r="Z21" i="28"/>
  <c r="AA21" i="28"/>
  <c r="AB21" i="28"/>
  <c r="AC21" i="28"/>
  <c r="F20" i="28"/>
  <c r="F21" i="28"/>
  <c r="F19" i="28"/>
  <c r="B25" i="28"/>
  <c r="AC18" i="28"/>
  <c r="AB18" i="28"/>
  <c r="AA18" i="28"/>
  <c r="Z18" i="28"/>
  <c r="Y18" i="28"/>
  <c r="X18" i="28"/>
  <c r="W18" i="28"/>
  <c r="V18" i="28"/>
  <c r="U18" i="28"/>
  <c r="T18" i="28"/>
  <c r="S18" i="28"/>
  <c r="R18" i="28"/>
  <c r="Q18" i="28"/>
  <c r="P18" i="28"/>
  <c r="O18" i="28"/>
  <c r="N18" i="28"/>
  <c r="M18" i="28"/>
  <c r="L18" i="28"/>
  <c r="K18" i="28"/>
  <c r="J18" i="28"/>
  <c r="I18" i="28"/>
  <c r="H18" i="28"/>
  <c r="G18" i="28"/>
  <c r="F18" i="28"/>
  <c r="B16" i="28"/>
  <c r="A16" i="28"/>
  <c r="B13" i="28"/>
  <c r="A13" i="28"/>
  <c r="A25" i="28" s="1"/>
  <c r="B10" i="28"/>
  <c r="B22" i="28" s="1"/>
  <c r="A10" i="28"/>
  <c r="A22" i="28" s="1"/>
  <c r="B19" i="28"/>
  <c r="A19" i="28"/>
  <c r="C11" i="7" l="1"/>
  <c r="C12" i="7"/>
  <c r="C13" i="7"/>
  <c r="A11" i="7"/>
  <c r="A12" i="7"/>
  <c r="A13" i="7"/>
  <c r="A4" i="18"/>
  <c r="B4" i="18"/>
  <c r="G4" i="18" s="1"/>
  <c r="J4" i="18" s="1"/>
  <c r="C4" i="18"/>
  <c r="H4" i="18"/>
  <c r="B5" i="18"/>
  <c r="C5" i="18"/>
  <c r="G5" i="18"/>
  <c r="A6" i="18"/>
  <c r="C6" i="18"/>
  <c r="H6" i="18"/>
  <c r="H4" i="13"/>
  <c r="H5" i="13"/>
  <c r="H6" i="13"/>
  <c r="H3" i="13"/>
  <c r="J3" i="13"/>
  <c r="J4" i="13"/>
  <c r="D11" i="7" s="1"/>
  <c r="F11" i="7" s="1"/>
  <c r="G11" i="7" s="1"/>
  <c r="J5" i="13"/>
  <c r="D12" i="7" s="1"/>
  <c r="F12" i="7" s="1"/>
  <c r="G12" i="7" s="1"/>
  <c r="J6" i="13"/>
  <c r="D13" i="7" s="1"/>
  <c r="F13" i="7" s="1"/>
  <c r="G13" i="7" s="1"/>
  <c r="B268" i="28"/>
  <c r="B265" i="28"/>
  <c r="B262" i="28"/>
  <c r="B259" i="28"/>
  <c r="B6" i="18" l="1"/>
  <c r="G6" i="18" s="1"/>
  <c r="J6" i="18" s="1"/>
  <c r="H5" i="18"/>
  <c r="I5" i="18"/>
  <c r="P19" i="14"/>
  <c r="P18" i="14"/>
  <c r="X18" i="1"/>
  <c r="W18" i="1"/>
  <c r="V18" i="1"/>
  <c r="U18" i="1"/>
  <c r="T18" i="1"/>
  <c r="S18" i="1"/>
  <c r="R18" i="1"/>
  <c r="Q18" i="1"/>
  <c r="P18" i="1"/>
  <c r="O18" i="1"/>
  <c r="N18" i="1"/>
  <c r="M18" i="1"/>
  <c r="L18" i="1"/>
  <c r="K18" i="1"/>
  <c r="J18" i="1"/>
  <c r="I18" i="1"/>
  <c r="J5" i="18" l="1"/>
  <c r="H252" i="28"/>
  <c r="I252" i="28"/>
  <c r="J252" i="28"/>
  <c r="K252" i="28"/>
  <c r="L252" i="28"/>
  <c r="M252" i="28"/>
  <c r="N252" i="28"/>
  <c r="O252" i="28"/>
  <c r="P252" i="28"/>
  <c r="Q252" i="28"/>
  <c r="R252" i="28"/>
  <c r="S252" i="28"/>
  <c r="T252" i="28"/>
  <c r="U252" i="28"/>
  <c r="V252" i="28"/>
  <c r="W252" i="28"/>
  <c r="X252" i="28"/>
  <c r="Y252" i="28"/>
  <c r="Z252" i="28"/>
  <c r="AA252" i="28"/>
  <c r="AB252" i="28"/>
  <c r="AC252" i="28"/>
  <c r="G253" i="28"/>
  <c r="H253" i="28"/>
  <c r="I253" i="28"/>
  <c r="J253" i="28"/>
  <c r="K253" i="28"/>
  <c r="L253" i="28"/>
  <c r="M253" i="28"/>
  <c r="N253" i="28"/>
  <c r="O253" i="28"/>
  <c r="P253" i="28"/>
  <c r="Q253" i="28"/>
  <c r="R253" i="28"/>
  <c r="S253" i="28"/>
  <c r="T253" i="28"/>
  <c r="U253" i="28"/>
  <c r="V253" i="28"/>
  <c r="W253" i="28"/>
  <c r="X253" i="28"/>
  <c r="Y253" i="28"/>
  <c r="Z253" i="28"/>
  <c r="AA253" i="28"/>
  <c r="AB253" i="28"/>
  <c r="AC253" i="28"/>
  <c r="G254" i="28"/>
  <c r="H254" i="28"/>
  <c r="I254" i="28"/>
  <c r="J254" i="28"/>
  <c r="K254" i="28"/>
  <c r="L254" i="28"/>
  <c r="M254" i="28"/>
  <c r="N254" i="28"/>
  <c r="O254" i="28"/>
  <c r="P254" i="28"/>
  <c r="Q254" i="28"/>
  <c r="R254" i="28"/>
  <c r="S254" i="28"/>
  <c r="T254" i="28"/>
  <c r="U254" i="28"/>
  <c r="V254" i="28"/>
  <c r="W254" i="28"/>
  <c r="X254" i="28"/>
  <c r="Y254" i="28"/>
  <c r="Z254" i="28"/>
  <c r="AA254" i="28"/>
  <c r="AB254" i="28"/>
  <c r="F253" i="28"/>
  <c r="F254" i="28"/>
  <c r="F252" i="28"/>
  <c r="AC270" i="28"/>
  <c r="G270" i="28"/>
  <c r="H270" i="28"/>
  <c r="I270" i="28"/>
  <c r="J270" i="28"/>
  <c r="K270" i="28"/>
  <c r="L270" i="28"/>
  <c r="M270" i="28"/>
  <c r="N270" i="28"/>
  <c r="O270" i="28"/>
  <c r="P270" i="28"/>
  <c r="Q270" i="28"/>
  <c r="R270" i="28"/>
  <c r="S270" i="28"/>
  <c r="T270" i="28"/>
  <c r="U270" i="28"/>
  <c r="V270" i="28"/>
  <c r="W270" i="28"/>
  <c r="X270" i="28"/>
  <c r="Y270" i="28"/>
  <c r="Z270" i="28"/>
  <c r="AA270" i="28"/>
  <c r="AB270" i="28"/>
  <c r="F270" i="28"/>
  <c r="A268" i="28"/>
  <c r="A265" i="28"/>
  <c r="A262" i="28"/>
  <c r="A259" i="28"/>
  <c r="A298" i="28"/>
  <c r="A295" i="28"/>
  <c r="A292" i="28"/>
  <c r="A289" i="28"/>
  <c r="A283" i="28"/>
  <c r="C289" i="28"/>
  <c r="E289" i="28"/>
  <c r="F289" i="28"/>
  <c r="F351" i="28" s="1"/>
  <c r="G289" i="28"/>
  <c r="G351" i="28" s="1"/>
  <c r="H289" i="28"/>
  <c r="H351" i="28" s="1"/>
  <c r="I289" i="28"/>
  <c r="I351" i="28" s="1"/>
  <c r="J289" i="28"/>
  <c r="J351" i="28" s="1"/>
  <c r="K289" i="28"/>
  <c r="K351" i="28" s="1"/>
  <c r="L289" i="28"/>
  <c r="L351" i="28" s="1"/>
  <c r="M289" i="28"/>
  <c r="M351" i="28" s="1"/>
  <c r="N289" i="28"/>
  <c r="N351" i="28" s="1"/>
  <c r="O289" i="28"/>
  <c r="O351" i="28" s="1"/>
  <c r="P289" i="28"/>
  <c r="P351" i="28" s="1"/>
  <c r="Q289" i="28"/>
  <c r="Q351" i="28" s="1"/>
  <c r="R289" i="28"/>
  <c r="R351" i="28" s="1"/>
  <c r="S289" i="28"/>
  <c r="S351" i="28" s="1"/>
  <c r="T289" i="28"/>
  <c r="T351" i="28" s="1"/>
  <c r="U289" i="28"/>
  <c r="U351" i="28" s="1"/>
  <c r="V289" i="28"/>
  <c r="V351" i="28" s="1"/>
  <c r="W289" i="28"/>
  <c r="W351" i="28" s="1"/>
  <c r="X289" i="28"/>
  <c r="X351" i="28" s="1"/>
  <c r="Y289" i="28"/>
  <c r="Y351" i="28" s="1"/>
  <c r="Z289" i="28"/>
  <c r="Z351" i="28" s="1"/>
  <c r="AA289" i="28"/>
  <c r="AA351" i="28" s="1"/>
  <c r="AB289" i="28"/>
  <c r="AB351" i="28" s="1"/>
  <c r="AC289" i="28"/>
  <c r="AC351" i="28" s="1"/>
  <c r="B290" i="28"/>
  <c r="C290" i="28"/>
  <c r="D290" i="28"/>
  <c r="E290" i="28"/>
  <c r="F290" i="28"/>
  <c r="F352" i="28" s="1"/>
  <c r="G290" i="28"/>
  <c r="G352" i="28" s="1"/>
  <c r="H290" i="28"/>
  <c r="H352" i="28" s="1"/>
  <c r="I290" i="28"/>
  <c r="I352" i="28" s="1"/>
  <c r="J290" i="28"/>
  <c r="J352" i="28" s="1"/>
  <c r="K290" i="28"/>
  <c r="K352" i="28" s="1"/>
  <c r="L290" i="28"/>
  <c r="L352" i="28" s="1"/>
  <c r="M290" i="28"/>
  <c r="M352" i="28" s="1"/>
  <c r="N290" i="28"/>
  <c r="N352" i="28" s="1"/>
  <c r="O290" i="28"/>
  <c r="O352" i="28" s="1"/>
  <c r="P290" i="28"/>
  <c r="P352" i="28" s="1"/>
  <c r="Q290" i="28"/>
  <c r="Q352" i="28" s="1"/>
  <c r="R290" i="28"/>
  <c r="R352" i="28" s="1"/>
  <c r="S290" i="28"/>
  <c r="S352" i="28" s="1"/>
  <c r="T290" i="28"/>
  <c r="T352" i="28" s="1"/>
  <c r="U290" i="28"/>
  <c r="U352" i="28" s="1"/>
  <c r="V290" i="28"/>
  <c r="V352" i="28" s="1"/>
  <c r="W290" i="28"/>
  <c r="W352" i="28" s="1"/>
  <c r="X290" i="28"/>
  <c r="X352" i="28" s="1"/>
  <c r="Y290" i="28"/>
  <c r="Y352" i="28" s="1"/>
  <c r="Z290" i="28"/>
  <c r="Z352" i="28" s="1"/>
  <c r="AA290" i="28"/>
  <c r="AA352" i="28" s="1"/>
  <c r="AB290" i="28"/>
  <c r="AB352" i="28" s="1"/>
  <c r="AC290" i="28"/>
  <c r="AC352" i="28" s="1"/>
  <c r="B291" i="28"/>
  <c r="C291" i="28"/>
  <c r="D291" i="28"/>
  <c r="E291" i="28"/>
  <c r="F291" i="28"/>
  <c r="F353" i="28" s="1"/>
  <c r="G291" i="28"/>
  <c r="G353" i="28" s="1"/>
  <c r="H291" i="28"/>
  <c r="H353" i="28" s="1"/>
  <c r="I291" i="28"/>
  <c r="I353" i="28" s="1"/>
  <c r="J291" i="28"/>
  <c r="J353" i="28" s="1"/>
  <c r="K291" i="28"/>
  <c r="K353" i="28" s="1"/>
  <c r="L291" i="28"/>
  <c r="L353" i="28" s="1"/>
  <c r="M291" i="28"/>
  <c r="M353" i="28" s="1"/>
  <c r="N291" i="28"/>
  <c r="N353" i="28" s="1"/>
  <c r="O291" i="28"/>
  <c r="O353" i="28" s="1"/>
  <c r="P291" i="28"/>
  <c r="P353" i="28" s="1"/>
  <c r="Q291" i="28"/>
  <c r="Q353" i="28" s="1"/>
  <c r="R291" i="28"/>
  <c r="R353" i="28" s="1"/>
  <c r="S291" i="28"/>
  <c r="S353" i="28" s="1"/>
  <c r="T291" i="28"/>
  <c r="T353" i="28" s="1"/>
  <c r="U291" i="28"/>
  <c r="U353" i="28" s="1"/>
  <c r="V291" i="28"/>
  <c r="V353" i="28" s="1"/>
  <c r="W291" i="28"/>
  <c r="W353" i="28" s="1"/>
  <c r="X291" i="28"/>
  <c r="X353" i="28" s="1"/>
  <c r="Y291" i="28"/>
  <c r="Y353" i="28" s="1"/>
  <c r="Z291" i="28"/>
  <c r="Z353" i="28" s="1"/>
  <c r="AA291" i="28"/>
  <c r="AA353" i="28" s="1"/>
  <c r="AB291" i="28"/>
  <c r="AB353" i="28" s="1"/>
  <c r="AC291" i="28"/>
  <c r="AC353" i="28" s="1"/>
  <c r="C292" i="28"/>
  <c r="E292" i="28"/>
  <c r="F292" i="28"/>
  <c r="F354" i="28" s="1"/>
  <c r="G292" i="28"/>
  <c r="G354" i="28" s="1"/>
  <c r="H292" i="28"/>
  <c r="H354" i="28" s="1"/>
  <c r="I292" i="28"/>
  <c r="I354" i="28" s="1"/>
  <c r="J292" i="28"/>
  <c r="J354" i="28" s="1"/>
  <c r="K292" i="28"/>
  <c r="K354" i="28" s="1"/>
  <c r="L292" i="28"/>
  <c r="L354" i="28" s="1"/>
  <c r="M292" i="28"/>
  <c r="M354" i="28" s="1"/>
  <c r="N292" i="28"/>
  <c r="N354" i="28" s="1"/>
  <c r="O292" i="28"/>
  <c r="O354" i="28" s="1"/>
  <c r="P292" i="28"/>
  <c r="P354" i="28" s="1"/>
  <c r="Q292" i="28"/>
  <c r="Q354" i="28" s="1"/>
  <c r="R292" i="28"/>
  <c r="R354" i="28" s="1"/>
  <c r="S292" i="28"/>
  <c r="S354" i="28" s="1"/>
  <c r="T292" i="28"/>
  <c r="T354" i="28" s="1"/>
  <c r="U292" i="28"/>
  <c r="U354" i="28" s="1"/>
  <c r="V292" i="28"/>
  <c r="V354" i="28" s="1"/>
  <c r="W292" i="28"/>
  <c r="W354" i="28" s="1"/>
  <c r="X292" i="28"/>
  <c r="X354" i="28" s="1"/>
  <c r="Y292" i="28"/>
  <c r="Y354" i="28" s="1"/>
  <c r="Z292" i="28"/>
  <c r="Z354" i="28" s="1"/>
  <c r="AA292" i="28"/>
  <c r="AA354" i="28" s="1"/>
  <c r="AB292" i="28"/>
  <c r="AB354" i="28" s="1"/>
  <c r="AC292" i="28"/>
  <c r="AC354" i="28" s="1"/>
  <c r="B293" i="28"/>
  <c r="C293" i="28"/>
  <c r="D293" i="28"/>
  <c r="E293" i="28"/>
  <c r="F293" i="28"/>
  <c r="F355" i="28" s="1"/>
  <c r="G293" i="28"/>
  <c r="G355" i="28" s="1"/>
  <c r="H293" i="28"/>
  <c r="H355" i="28" s="1"/>
  <c r="I293" i="28"/>
  <c r="I355" i="28" s="1"/>
  <c r="J293" i="28"/>
  <c r="J355" i="28" s="1"/>
  <c r="K293" i="28"/>
  <c r="K355" i="28" s="1"/>
  <c r="L293" i="28"/>
  <c r="L355" i="28" s="1"/>
  <c r="M293" i="28"/>
  <c r="M355" i="28" s="1"/>
  <c r="N293" i="28"/>
  <c r="N355" i="28" s="1"/>
  <c r="O293" i="28"/>
  <c r="O355" i="28" s="1"/>
  <c r="P293" i="28"/>
  <c r="P355" i="28" s="1"/>
  <c r="Q293" i="28"/>
  <c r="Q355" i="28" s="1"/>
  <c r="R293" i="28"/>
  <c r="R355" i="28" s="1"/>
  <c r="S293" i="28"/>
  <c r="S355" i="28" s="1"/>
  <c r="T293" i="28"/>
  <c r="T355" i="28" s="1"/>
  <c r="U293" i="28"/>
  <c r="U355" i="28" s="1"/>
  <c r="V293" i="28"/>
  <c r="V355" i="28" s="1"/>
  <c r="W293" i="28"/>
  <c r="W355" i="28" s="1"/>
  <c r="X293" i="28"/>
  <c r="X355" i="28" s="1"/>
  <c r="Y293" i="28"/>
  <c r="Y355" i="28" s="1"/>
  <c r="Z293" i="28"/>
  <c r="Z355" i="28" s="1"/>
  <c r="AA293" i="28"/>
  <c r="AA355" i="28" s="1"/>
  <c r="AB293" i="28"/>
  <c r="AB355" i="28" s="1"/>
  <c r="AC293" i="28"/>
  <c r="AC355" i="28" s="1"/>
  <c r="B294" i="28"/>
  <c r="C294" i="28"/>
  <c r="D294" i="28"/>
  <c r="E294" i="28"/>
  <c r="F294" i="28"/>
  <c r="F356" i="28" s="1"/>
  <c r="G294" i="28"/>
  <c r="G356" i="28" s="1"/>
  <c r="H294" i="28"/>
  <c r="H356" i="28" s="1"/>
  <c r="I294" i="28"/>
  <c r="I356" i="28" s="1"/>
  <c r="J294" i="28"/>
  <c r="J356" i="28" s="1"/>
  <c r="K294" i="28"/>
  <c r="K356" i="28" s="1"/>
  <c r="L294" i="28"/>
  <c r="L356" i="28" s="1"/>
  <c r="M294" i="28"/>
  <c r="M356" i="28" s="1"/>
  <c r="N294" i="28"/>
  <c r="N356" i="28" s="1"/>
  <c r="O294" i="28"/>
  <c r="O356" i="28" s="1"/>
  <c r="P294" i="28"/>
  <c r="P356" i="28" s="1"/>
  <c r="Q294" i="28"/>
  <c r="Q356" i="28" s="1"/>
  <c r="R294" i="28"/>
  <c r="R356" i="28" s="1"/>
  <c r="S294" i="28"/>
  <c r="S356" i="28" s="1"/>
  <c r="T294" i="28"/>
  <c r="T356" i="28" s="1"/>
  <c r="U294" i="28"/>
  <c r="U356" i="28" s="1"/>
  <c r="V294" i="28"/>
  <c r="V356" i="28" s="1"/>
  <c r="W294" i="28"/>
  <c r="W356" i="28" s="1"/>
  <c r="X294" i="28"/>
  <c r="X356" i="28" s="1"/>
  <c r="Y294" i="28"/>
  <c r="Y356" i="28" s="1"/>
  <c r="Z294" i="28"/>
  <c r="Z356" i="28" s="1"/>
  <c r="AA294" i="28"/>
  <c r="AA356" i="28" s="1"/>
  <c r="AB294" i="28"/>
  <c r="AB356" i="28" s="1"/>
  <c r="AC294" i="28"/>
  <c r="AC356" i="28" s="1"/>
  <c r="C295" i="28"/>
  <c r="E295" i="28"/>
  <c r="F295" i="28"/>
  <c r="F357" i="28" s="1"/>
  <c r="G295" i="28"/>
  <c r="G357" i="28" s="1"/>
  <c r="H295" i="28"/>
  <c r="H357" i="28" s="1"/>
  <c r="I295" i="28"/>
  <c r="I357" i="28" s="1"/>
  <c r="J295" i="28"/>
  <c r="J357" i="28" s="1"/>
  <c r="K295" i="28"/>
  <c r="K357" i="28" s="1"/>
  <c r="L295" i="28"/>
  <c r="L357" i="28" s="1"/>
  <c r="M295" i="28"/>
  <c r="M357" i="28" s="1"/>
  <c r="N295" i="28"/>
  <c r="N357" i="28" s="1"/>
  <c r="O295" i="28"/>
  <c r="O357" i="28" s="1"/>
  <c r="P295" i="28"/>
  <c r="P357" i="28" s="1"/>
  <c r="Q295" i="28"/>
  <c r="Q357" i="28" s="1"/>
  <c r="R295" i="28"/>
  <c r="R357" i="28" s="1"/>
  <c r="S295" i="28"/>
  <c r="S357" i="28" s="1"/>
  <c r="T295" i="28"/>
  <c r="T357" i="28" s="1"/>
  <c r="U295" i="28"/>
  <c r="U357" i="28" s="1"/>
  <c r="V295" i="28"/>
  <c r="V357" i="28" s="1"/>
  <c r="W295" i="28"/>
  <c r="W357" i="28" s="1"/>
  <c r="X295" i="28"/>
  <c r="X357" i="28" s="1"/>
  <c r="Y295" i="28"/>
  <c r="Y357" i="28" s="1"/>
  <c r="Z295" i="28"/>
  <c r="Z357" i="28" s="1"/>
  <c r="AA295" i="28"/>
  <c r="AA357" i="28" s="1"/>
  <c r="AB295" i="28"/>
  <c r="AB357" i="28" s="1"/>
  <c r="AC295" i="28"/>
  <c r="AC357" i="28" s="1"/>
  <c r="B296" i="28"/>
  <c r="C296" i="28"/>
  <c r="D296" i="28"/>
  <c r="E296" i="28"/>
  <c r="F296" i="28"/>
  <c r="F358" i="28" s="1"/>
  <c r="G296" i="28"/>
  <c r="G358" i="28" s="1"/>
  <c r="H296" i="28"/>
  <c r="H358" i="28" s="1"/>
  <c r="I296" i="28"/>
  <c r="I358" i="28" s="1"/>
  <c r="J296" i="28"/>
  <c r="J358" i="28" s="1"/>
  <c r="K296" i="28"/>
  <c r="K358" i="28" s="1"/>
  <c r="L296" i="28"/>
  <c r="L358" i="28" s="1"/>
  <c r="M296" i="28"/>
  <c r="M358" i="28" s="1"/>
  <c r="N296" i="28"/>
  <c r="N358" i="28" s="1"/>
  <c r="O296" i="28"/>
  <c r="O358" i="28" s="1"/>
  <c r="P296" i="28"/>
  <c r="P358" i="28" s="1"/>
  <c r="Q296" i="28"/>
  <c r="Q358" i="28" s="1"/>
  <c r="R296" i="28"/>
  <c r="R358" i="28" s="1"/>
  <c r="S296" i="28"/>
  <c r="S358" i="28" s="1"/>
  <c r="T296" i="28"/>
  <c r="T358" i="28" s="1"/>
  <c r="U296" i="28"/>
  <c r="U358" i="28" s="1"/>
  <c r="V296" i="28"/>
  <c r="V358" i="28" s="1"/>
  <c r="W296" i="28"/>
  <c r="W358" i="28" s="1"/>
  <c r="X296" i="28"/>
  <c r="X358" i="28" s="1"/>
  <c r="Y296" i="28"/>
  <c r="Y358" i="28" s="1"/>
  <c r="Z296" i="28"/>
  <c r="Z358" i="28" s="1"/>
  <c r="AA296" i="28"/>
  <c r="AA358" i="28" s="1"/>
  <c r="AB296" i="28"/>
  <c r="AB358" i="28" s="1"/>
  <c r="AC296" i="28"/>
  <c r="AC358" i="28" s="1"/>
  <c r="B297" i="28"/>
  <c r="C297" i="28"/>
  <c r="D297" i="28"/>
  <c r="E297" i="28"/>
  <c r="F297" i="28"/>
  <c r="F359" i="28" s="1"/>
  <c r="G297" i="28"/>
  <c r="G359" i="28" s="1"/>
  <c r="H297" i="28"/>
  <c r="H359" i="28" s="1"/>
  <c r="I297" i="28"/>
  <c r="I359" i="28" s="1"/>
  <c r="J297" i="28"/>
  <c r="J359" i="28" s="1"/>
  <c r="K297" i="28"/>
  <c r="K359" i="28" s="1"/>
  <c r="L297" i="28"/>
  <c r="L359" i="28" s="1"/>
  <c r="M297" i="28"/>
  <c r="M359" i="28" s="1"/>
  <c r="N297" i="28"/>
  <c r="N359" i="28" s="1"/>
  <c r="O297" i="28"/>
  <c r="O359" i="28" s="1"/>
  <c r="P297" i="28"/>
  <c r="P359" i="28" s="1"/>
  <c r="Q297" i="28"/>
  <c r="Q359" i="28" s="1"/>
  <c r="R297" i="28"/>
  <c r="R359" i="28" s="1"/>
  <c r="S297" i="28"/>
  <c r="S359" i="28" s="1"/>
  <c r="T297" i="28"/>
  <c r="T359" i="28" s="1"/>
  <c r="U297" i="28"/>
  <c r="U359" i="28" s="1"/>
  <c r="V297" i="28"/>
  <c r="V359" i="28" s="1"/>
  <c r="W297" i="28"/>
  <c r="W359" i="28" s="1"/>
  <c r="X297" i="28"/>
  <c r="X359" i="28" s="1"/>
  <c r="Y297" i="28"/>
  <c r="Y359" i="28" s="1"/>
  <c r="Z297" i="28"/>
  <c r="Z359" i="28" s="1"/>
  <c r="AA297" i="28"/>
  <c r="AA359" i="28" s="1"/>
  <c r="AB297" i="28"/>
  <c r="AB359" i="28" s="1"/>
  <c r="AC297" i="28"/>
  <c r="AC359" i="28" s="1"/>
  <c r="C298" i="28"/>
  <c r="E298" i="28"/>
  <c r="F298" i="28"/>
  <c r="F360" i="28" s="1"/>
  <c r="G298" i="28"/>
  <c r="G360" i="28" s="1"/>
  <c r="H298" i="28"/>
  <c r="H360" i="28" s="1"/>
  <c r="I298" i="28"/>
  <c r="I360" i="28" s="1"/>
  <c r="J298" i="28"/>
  <c r="J360" i="28" s="1"/>
  <c r="K298" i="28"/>
  <c r="K360" i="28" s="1"/>
  <c r="L298" i="28"/>
  <c r="L360" i="28" s="1"/>
  <c r="M298" i="28"/>
  <c r="M360" i="28" s="1"/>
  <c r="N298" i="28"/>
  <c r="N360" i="28" s="1"/>
  <c r="O298" i="28"/>
  <c r="O360" i="28" s="1"/>
  <c r="P298" i="28"/>
  <c r="P360" i="28" s="1"/>
  <c r="Q298" i="28"/>
  <c r="Q360" i="28" s="1"/>
  <c r="R298" i="28"/>
  <c r="R360" i="28" s="1"/>
  <c r="S298" i="28"/>
  <c r="S360" i="28" s="1"/>
  <c r="T298" i="28"/>
  <c r="T360" i="28" s="1"/>
  <c r="U298" i="28"/>
  <c r="U360" i="28" s="1"/>
  <c r="V298" i="28"/>
  <c r="V360" i="28" s="1"/>
  <c r="W298" i="28"/>
  <c r="W360" i="28" s="1"/>
  <c r="X298" i="28"/>
  <c r="X360" i="28" s="1"/>
  <c r="Y298" i="28"/>
  <c r="Y360" i="28" s="1"/>
  <c r="Z298" i="28"/>
  <c r="Z360" i="28" s="1"/>
  <c r="AA298" i="28"/>
  <c r="AA360" i="28" s="1"/>
  <c r="AB298" i="28"/>
  <c r="AB360" i="28" s="1"/>
  <c r="AC298" i="28"/>
  <c r="AC360" i="28" s="1"/>
  <c r="B299" i="28"/>
  <c r="C299" i="28"/>
  <c r="D299" i="28"/>
  <c r="E299" i="28"/>
  <c r="F299" i="28"/>
  <c r="F361" i="28" s="1"/>
  <c r="G299" i="28"/>
  <c r="G361" i="28" s="1"/>
  <c r="H299" i="28"/>
  <c r="H361" i="28" s="1"/>
  <c r="I299" i="28"/>
  <c r="I361" i="28" s="1"/>
  <c r="J299" i="28"/>
  <c r="J361" i="28" s="1"/>
  <c r="K299" i="28"/>
  <c r="K361" i="28" s="1"/>
  <c r="L299" i="28"/>
  <c r="L361" i="28" s="1"/>
  <c r="M299" i="28"/>
  <c r="M361" i="28" s="1"/>
  <c r="N299" i="28"/>
  <c r="N361" i="28" s="1"/>
  <c r="O299" i="28"/>
  <c r="O361" i="28" s="1"/>
  <c r="P299" i="28"/>
  <c r="P361" i="28" s="1"/>
  <c r="Q299" i="28"/>
  <c r="Q361" i="28" s="1"/>
  <c r="R299" i="28"/>
  <c r="R361" i="28" s="1"/>
  <c r="S299" i="28"/>
  <c r="S361" i="28" s="1"/>
  <c r="T299" i="28"/>
  <c r="T361" i="28" s="1"/>
  <c r="U299" i="28"/>
  <c r="U361" i="28" s="1"/>
  <c r="V299" i="28"/>
  <c r="V361" i="28" s="1"/>
  <c r="W299" i="28"/>
  <c r="W361" i="28" s="1"/>
  <c r="X299" i="28"/>
  <c r="X361" i="28" s="1"/>
  <c r="Y299" i="28"/>
  <c r="Y361" i="28" s="1"/>
  <c r="Z299" i="28"/>
  <c r="Z361" i="28" s="1"/>
  <c r="AA299" i="28"/>
  <c r="AA361" i="28" s="1"/>
  <c r="AB299" i="28"/>
  <c r="AB361" i="28" s="1"/>
  <c r="AC299" i="28"/>
  <c r="AC361" i="28" s="1"/>
  <c r="B300" i="28"/>
  <c r="C300" i="28"/>
  <c r="D300" i="28"/>
  <c r="E300" i="28"/>
  <c r="F300" i="28"/>
  <c r="G300" i="28"/>
  <c r="H300" i="28"/>
  <c r="I300" i="28"/>
  <c r="J300" i="28"/>
  <c r="K300" i="28"/>
  <c r="L300" i="28"/>
  <c r="M300" i="28"/>
  <c r="N300" i="28"/>
  <c r="O300" i="28"/>
  <c r="P300" i="28"/>
  <c r="Q300" i="28"/>
  <c r="R300" i="28"/>
  <c r="S300" i="28"/>
  <c r="T300" i="28"/>
  <c r="U300" i="28"/>
  <c r="V300" i="28"/>
  <c r="W300" i="28"/>
  <c r="X300" i="28"/>
  <c r="Y300" i="28"/>
  <c r="Z300" i="28"/>
  <c r="AA300" i="28"/>
  <c r="AB300" i="28"/>
  <c r="AC300" i="28"/>
  <c r="B286" i="28"/>
  <c r="C286" i="28"/>
  <c r="D286" i="28"/>
  <c r="E286" i="28"/>
  <c r="F286" i="28"/>
  <c r="F348" i="28" s="1"/>
  <c r="G286" i="28"/>
  <c r="G348" i="28" s="1"/>
  <c r="H286" i="28"/>
  <c r="H348" i="28" s="1"/>
  <c r="I286" i="28"/>
  <c r="I348" i="28" s="1"/>
  <c r="J286" i="28"/>
  <c r="J348" i="28" s="1"/>
  <c r="K286" i="28"/>
  <c r="K348" i="28" s="1"/>
  <c r="L286" i="28"/>
  <c r="L348" i="28" s="1"/>
  <c r="M286" i="28"/>
  <c r="M348" i="28" s="1"/>
  <c r="N286" i="28"/>
  <c r="N348" i="28" s="1"/>
  <c r="O286" i="28"/>
  <c r="O348" i="28" s="1"/>
  <c r="P286" i="28"/>
  <c r="P348" i="28" s="1"/>
  <c r="Q286" i="28"/>
  <c r="Q348" i="28" s="1"/>
  <c r="R286" i="28"/>
  <c r="R348" i="28" s="1"/>
  <c r="S286" i="28"/>
  <c r="S348" i="28" s="1"/>
  <c r="T286" i="28"/>
  <c r="T348" i="28" s="1"/>
  <c r="U286" i="28"/>
  <c r="U348" i="28" s="1"/>
  <c r="V286" i="28"/>
  <c r="V348" i="28" s="1"/>
  <c r="W286" i="28"/>
  <c r="W348" i="28" s="1"/>
  <c r="X286" i="28"/>
  <c r="X348" i="28" s="1"/>
  <c r="Y286" i="28"/>
  <c r="Y348" i="28" s="1"/>
  <c r="Z286" i="28"/>
  <c r="Z348" i="28" s="1"/>
  <c r="AA286" i="28"/>
  <c r="AA348" i="28" s="1"/>
  <c r="AB286" i="28"/>
  <c r="AB348" i="28" s="1"/>
  <c r="AC286" i="28"/>
  <c r="AC348" i="28" s="1"/>
  <c r="B287" i="28"/>
  <c r="C287" i="28"/>
  <c r="D287" i="28"/>
  <c r="E287" i="28"/>
  <c r="F287" i="28"/>
  <c r="F349" i="28" s="1"/>
  <c r="G287" i="28"/>
  <c r="G349" i="28" s="1"/>
  <c r="H287" i="28"/>
  <c r="H349" i="28" s="1"/>
  <c r="I287" i="28"/>
  <c r="I349" i="28" s="1"/>
  <c r="J287" i="28"/>
  <c r="J349" i="28" s="1"/>
  <c r="K287" i="28"/>
  <c r="K349" i="28" s="1"/>
  <c r="L287" i="28"/>
  <c r="L349" i="28" s="1"/>
  <c r="M287" i="28"/>
  <c r="M349" i="28" s="1"/>
  <c r="N287" i="28"/>
  <c r="N349" i="28" s="1"/>
  <c r="O287" i="28"/>
  <c r="O349" i="28" s="1"/>
  <c r="P287" i="28"/>
  <c r="P349" i="28" s="1"/>
  <c r="Q287" i="28"/>
  <c r="Q349" i="28" s="1"/>
  <c r="R287" i="28"/>
  <c r="R349" i="28" s="1"/>
  <c r="S287" i="28"/>
  <c r="S349" i="28" s="1"/>
  <c r="T287" i="28"/>
  <c r="T349" i="28" s="1"/>
  <c r="U287" i="28"/>
  <c r="U349" i="28" s="1"/>
  <c r="V287" i="28"/>
  <c r="V349" i="28" s="1"/>
  <c r="W287" i="28"/>
  <c r="W349" i="28" s="1"/>
  <c r="X287" i="28"/>
  <c r="X349" i="28" s="1"/>
  <c r="Y287" i="28"/>
  <c r="Y349" i="28" s="1"/>
  <c r="Z287" i="28"/>
  <c r="Z349" i="28" s="1"/>
  <c r="AA287" i="28"/>
  <c r="AA349" i="28" s="1"/>
  <c r="AB287" i="28"/>
  <c r="AB349" i="28" s="1"/>
  <c r="AC287" i="28"/>
  <c r="AC349" i="28" s="1"/>
  <c r="B288" i="28"/>
  <c r="C288" i="28"/>
  <c r="D288" i="28"/>
  <c r="E288" i="28"/>
  <c r="F288" i="28"/>
  <c r="F350" i="28" s="1"/>
  <c r="G288" i="28"/>
  <c r="G350" i="28" s="1"/>
  <c r="H288" i="28"/>
  <c r="H350" i="28" s="1"/>
  <c r="I288" i="28"/>
  <c r="I350" i="28" s="1"/>
  <c r="J288" i="28"/>
  <c r="J350" i="28" s="1"/>
  <c r="K288" i="28"/>
  <c r="K350" i="28" s="1"/>
  <c r="L288" i="28"/>
  <c r="L350" i="28" s="1"/>
  <c r="M288" i="28"/>
  <c r="M350" i="28" s="1"/>
  <c r="N288" i="28"/>
  <c r="N350" i="28" s="1"/>
  <c r="O288" i="28"/>
  <c r="O350" i="28" s="1"/>
  <c r="P288" i="28"/>
  <c r="P350" i="28" s="1"/>
  <c r="Q288" i="28"/>
  <c r="Q350" i="28" s="1"/>
  <c r="R288" i="28"/>
  <c r="R350" i="28" s="1"/>
  <c r="S288" i="28"/>
  <c r="S350" i="28" s="1"/>
  <c r="T288" i="28"/>
  <c r="T350" i="28" s="1"/>
  <c r="U288" i="28"/>
  <c r="U350" i="28" s="1"/>
  <c r="V288" i="28"/>
  <c r="V350" i="28" s="1"/>
  <c r="W288" i="28"/>
  <c r="W350" i="28" s="1"/>
  <c r="X288" i="28"/>
  <c r="X350" i="28" s="1"/>
  <c r="Y288" i="28"/>
  <c r="Y350" i="28" s="1"/>
  <c r="Z288" i="28"/>
  <c r="Z350" i="28" s="1"/>
  <c r="AA288" i="28"/>
  <c r="AA350" i="28" s="1"/>
  <c r="AB288" i="28"/>
  <c r="AB350" i="28" s="1"/>
  <c r="AC288" i="28"/>
  <c r="AC350" i="28" s="1"/>
  <c r="B283" i="28"/>
  <c r="B280" i="28"/>
  <c r="B277" i="28"/>
  <c r="B274" i="28"/>
  <c r="A274" i="28"/>
  <c r="A277" i="28" s="1"/>
  <c r="A280" i="28"/>
  <c r="A153" i="28"/>
  <c r="A150" i="28"/>
  <c r="A147" i="28"/>
  <c r="A144" i="28"/>
  <c r="A141" i="28"/>
  <c r="A138" i="28"/>
  <c r="A135" i="28"/>
  <c r="A215" i="28"/>
  <c r="A212" i="28"/>
  <c r="A209" i="28"/>
  <c r="A206" i="28"/>
  <c r="A203" i="28"/>
  <c r="A197" i="28"/>
  <c r="A200" i="28" s="1"/>
  <c r="H212" i="28"/>
  <c r="I212" i="28"/>
  <c r="J212" i="28"/>
  <c r="K212" i="28"/>
  <c r="L212" i="28"/>
  <c r="M212" i="28"/>
  <c r="N212" i="28"/>
  <c r="O212" i="28"/>
  <c r="P212" i="28"/>
  <c r="Q212" i="28"/>
  <c r="R212" i="28"/>
  <c r="S212" i="28"/>
  <c r="T212" i="28"/>
  <c r="U212" i="28"/>
  <c r="V212" i="28"/>
  <c r="W212" i="28"/>
  <c r="X212" i="28"/>
  <c r="Y212" i="28"/>
  <c r="Z212" i="28"/>
  <c r="AA212" i="28"/>
  <c r="AB212" i="28"/>
  <c r="AC212" i="28"/>
  <c r="H213" i="28"/>
  <c r="I213" i="28"/>
  <c r="J213" i="28"/>
  <c r="K213" i="28"/>
  <c r="L213" i="28"/>
  <c r="M213" i="28"/>
  <c r="N213" i="28"/>
  <c r="O213" i="28"/>
  <c r="P213" i="28"/>
  <c r="Q213" i="28"/>
  <c r="R213" i="28"/>
  <c r="S213" i="28"/>
  <c r="T213" i="28"/>
  <c r="U213" i="28"/>
  <c r="V213" i="28"/>
  <c r="W213" i="28"/>
  <c r="X213" i="28"/>
  <c r="Y213" i="28"/>
  <c r="Z213" i="28"/>
  <c r="AA213" i="28"/>
  <c r="AB213" i="28"/>
  <c r="AC213" i="28"/>
  <c r="H214" i="28"/>
  <c r="I214" i="28"/>
  <c r="J214" i="28"/>
  <c r="K214" i="28"/>
  <c r="L214" i="28"/>
  <c r="M214" i="28"/>
  <c r="N214" i="28"/>
  <c r="O214" i="28"/>
  <c r="P214" i="28"/>
  <c r="Q214" i="28"/>
  <c r="R214" i="28"/>
  <c r="S214" i="28"/>
  <c r="T214" i="28"/>
  <c r="U214" i="28"/>
  <c r="V214" i="28"/>
  <c r="W214" i="28"/>
  <c r="X214" i="28"/>
  <c r="Y214" i="28"/>
  <c r="Z214" i="28"/>
  <c r="AA214" i="28"/>
  <c r="AB214" i="28"/>
  <c r="AC214" i="28"/>
  <c r="H215" i="28"/>
  <c r="I215" i="28"/>
  <c r="J215" i="28"/>
  <c r="K215" i="28"/>
  <c r="L215" i="28"/>
  <c r="M215" i="28"/>
  <c r="N215" i="28"/>
  <c r="O215" i="28"/>
  <c r="P215" i="28"/>
  <c r="Q215" i="28"/>
  <c r="R215" i="28"/>
  <c r="S215" i="28"/>
  <c r="T215" i="28"/>
  <c r="U215" i="28"/>
  <c r="V215" i="28"/>
  <c r="W215" i="28"/>
  <c r="X215" i="28"/>
  <c r="Y215" i="28"/>
  <c r="Z215" i="28"/>
  <c r="AA215" i="28"/>
  <c r="AB215" i="28"/>
  <c r="AC215" i="28"/>
  <c r="H216" i="28"/>
  <c r="I216" i="28"/>
  <c r="J216" i="28"/>
  <c r="K216" i="28"/>
  <c r="L216" i="28"/>
  <c r="M216" i="28"/>
  <c r="N216" i="28"/>
  <c r="O216" i="28"/>
  <c r="P216" i="28"/>
  <c r="Q216" i="28"/>
  <c r="R216" i="28"/>
  <c r="S216" i="28"/>
  <c r="T216" i="28"/>
  <c r="U216" i="28"/>
  <c r="V216" i="28"/>
  <c r="W216" i="28"/>
  <c r="X216" i="28"/>
  <c r="Y216" i="28"/>
  <c r="Z216" i="28"/>
  <c r="AA216" i="28"/>
  <c r="AB216" i="28"/>
  <c r="AC216" i="28"/>
  <c r="H217" i="28"/>
  <c r="I217" i="28"/>
  <c r="J217" i="28"/>
  <c r="K217" i="28"/>
  <c r="L217" i="28"/>
  <c r="M217" i="28"/>
  <c r="N217" i="28"/>
  <c r="O217" i="28"/>
  <c r="P217" i="28"/>
  <c r="Q217" i="28"/>
  <c r="R217" i="28"/>
  <c r="S217" i="28"/>
  <c r="T217" i="28"/>
  <c r="U217" i="28"/>
  <c r="V217" i="28"/>
  <c r="W217" i="28"/>
  <c r="X217" i="28"/>
  <c r="Y217" i="28"/>
  <c r="Z217" i="28"/>
  <c r="AA217" i="28"/>
  <c r="AB217" i="28"/>
  <c r="AC217" i="28"/>
  <c r="F213" i="28"/>
  <c r="F214" i="28"/>
  <c r="F215" i="28"/>
  <c r="F216" i="28"/>
  <c r="F217" i="28"/>
  <c r="G212" i="28"/>
  <c r="G213" i="28"/>
  <c r="G214" i="28"/>
  <c r="G215" i="28"/>
  <c r="G216" i="28"/>
  <c r="G217" i="28"/>
  <c r="B190" i="28"/>
  <c r="A190" i="28"/>
  <c r="B187" i="28"/>
  <c r="A187" i="28"/>
  <c r="AC155" i="28"/>
  <c r="AB155" i="28"/>
  <c r="AA155" i="28"/>
  <c r="Z155" i="28"/>
  <c r="Y155" i="28"/>
  <c r="X155" i="28"/>
  <c r="W155" i="28"/>
  <c r="V155" i="28"/>
  <c r="U155" i="28"/>
  <c r="T155" i="28"/>
  <c r="S155" i="28"/>
  <c r="R155" i="28"/>
  <c r="Q155" i="28"/>
  <c r="P155" i="28"/>
  <c r="O155" i="28"/>
  <c r="N155" i="28"/>
  <c r="M155" i="28"/>
  <c r="L155" i="28"/>
  <c r="K155" i="28"/>
  <c r="J155" i="28"/>
  <c r="I155" i="28"/>
  <c r="H155" i="28"/>
  <c r="G155" i="28"/>
  <c r="F155" i="28"/>
  <c r="AC154" i="28"/>
  <c r="AB154" i="28"/>
  <c r="AA154" i="28"/>
  <c r="Z154" i="28"/>
  <c r="Y154" i="28"/>
  <c r="X154" i="28"/>
  <c r="W154" i="28"/>
  <c r="V154" i="28"/>
  <c r="U154" i="28"/>
  <c r="T154" i="28"/>
  <c r="S154" i="28"/>
  <c r="R154" i="28"/>
  <c r="Q154" i="28"/>
  <c r="P154" i="28"/>
  <c r="O154" i="28"/>
  <c r="N154" i="28"/>
  <c r="M154" i="28"/>
  <c r="L154" i="28"/>
  <c r="K154" i="28"/>
  <c r="J154" i="28"/>
  <c r="I154" i="28"/>
  <c r="H154" i="28"/>
  <c r="G154" i="28"/>
  <c r="F154" i="28"/>
  <c r="AC153" i="28"/>
  <c r="AB153" i="28"/>
  <c r="AA153" i="28"/>
  <c r="Z153" i="28"/>
  <c r="Y153" i="28"/>
  <c r="X153" i="28"/>
  <c r="W153" i="28"/>
  <c r="V153" i="28"/>
  <c r="U153" i="28"/>
  <c r="T153" i="28"/>
  <c r="S153" i="28"/>
  <c r="R153" i="28"/>
  <c r="Q153" i="28"/>
  <c r="P153" i="28"/>
  <c r="O153" i="28"/>
  <c r="N153" i="28"/>
  <c r="M153" i="28"/>
  <c r="L153" i="28"/>
  <c r="K153" i="28"/>
  <c r="J153" i="28"/>
  <c r="I153" i="28"/>
  <c r="H153" i="28"/>
  <c r="G153" i="28"/>
  <c r="F153" i="28"/>
  <c r="B153" i="28"/>
  <c r="AC152" i="28"/>
  <c r="AB152" i="28"/>
  <c r="AA152" i="28"/>
  <c r="Z152" i="28"/>
  <c r="Y152" i="28"/>
  <c r="X152" i="28"/>
  <c r="W152" i="28"/>
  <c r="V152" i="28"/>
  <c r="U152" i="28"/>
  <c r="T152" i="28"/>
  <c r="S152" i="28"/>
  <c r="R152" i="28"/>
  <c r="Q152" i="28"/>
  <c r="P152" i="28"/>
  <c r="O152" i="28"/>
  <c r="N152" i="28"/>
  <c r="M152" i="28"/>
  <c r="L152" i="28"/>
  <c r="K152" i="28"/>
  <c r="J152" i="28"/>
  <c r="I152" i="28"/>
  <c r="H152" i="28"/>
  <c r="G152" i="28"/>
  <c r="F152" i="28"/>
  <c r="AC151" i="28"/>
  <c r="AB151" i="28"/>
  <c r="AA151" i="28"/>
  <c r="Z151" i="28"/>
  <c r="Y151" i="28"/>
  <c r="X151" i="28"/>
  <c r="W151" i="28"/>
  <c r="V151" i="28"/>
  <c r="U151" i="28"/>
  <c r="T151" i="28"/>
  <c r="S151" i="28"/>
  <c r="R151" i="28"/>
  <c r="Q151" i="28"/>
  <c r="P151" i="28"/>
  <c r="O151" i="28"/>
  <c r="N151" i="28"/>
  <c r="M151" i="28"/>
  <c r="L151" i="28"/>
  <c r="K151" i="28"/>
  <c r="J151" i="28"/>
  <c r="I151" i="28"/>
  <c r="H151" i="28"/>
  <c r="G151" i="28"/>
  <c r="F151" i="28"/>
  <c r="AC150" i="28"/>
  <c r="AB150" i="28"/>
  <c r="AA150" i="28"/>
  <c r="Z150" i="28"/>
  <c r="Y150" i="28"/>
  <c r="X150" i="28"/>
  <c r="W150" i="28"/>
  <c r="V150" i="28"/>
  <c r="U150" i="28"/>
  <c r="T150" i="28"/>
  <c r="S150" i="28"/>
  <c r="R150" i="28"/>
  <c r="Q150" i="28"/>
  <c r="P150" i="28"/>
  <c r="O150" i="28"/>
  <c r="N150" i="28"/>
  <c r="M150" i="28"/>
  <c r="L150" i="28"/>
  <c r="K150" i="28"/>
  <c r="J150" i="28"/>
  <c r="I150" i="28"/>
  <c r="H150" i="28"/>
  <c r="G150" i="28"/>
  <c r="F150" i="28"/>
  <c r="B150" i="28"/>
  <c r="AA362" i="28" l="1"/>
  <c r="N362" i="28"/>
  <c r="O362" i="28"/>
  <c r="V362" i="28"/>
  <c r="U362" i="28"/>
  <c r="AC362" i="28"/>
  <c r="G362" i="28"/>
  <c r="AB362" i="28"/>
  <c r="T362" i="28"/>
  <c r="P362" i="28"/>
  <c r="L362" i="28"/>
  <c r="I362" i="28"/>
  <c r="W362" i="28"/>
  <c r="M362" i="28"/>
  <c r="K362" i="28"/>
  <c r="J362" i="28"/>
  <c r="F362" i="28"/>
  <c r="H362" i="28"/>
  <c r="S362" i="28"/>
  <c r="Z362" i="28"/>
  <c r="R362" i="28"/>
  <c r="Y362" i="28"/>
  <c r="Q362" i="28"/>
  <c r="X362" i="28"/>
  <c r="F363" i="28"/>
  <c r="Y85" i="31"/>
  <c r="W86" i="31"/>
  <c r="W87" i="31"/>
  <c r="W88" i="31"/>
  <c r="S86" i="31"/>
  <c r="X86" i="31" s="1"/>
  <c r="S87" i="31"/>
  <c r="X87" i="31" s="1"/>
  <c r="S88" i="31"/>
  <c r="X88" i="31" s="1"/>
  <c r="S85" i="31"/>
  <c r="W85" i="31"/>
  <c r="L84" i="31"/>
  <c r="E10" i="7" s="1"/>
  <c r="J84" i="31"/>
  <c r="K84" i="31"/>
  <c r="I84" i="31"/>
  <c r="G84" i="31"/>
  <c r="E3" i="29" s="1"/>
  <c r="H84" i="31"/>
  <c r="D3" i="29" s="1"/>
  <c r="F84" i="31"/>
  <c r="X85" i="31" l="1"/>
  <c r="D84" i="31" s="1"/>
  <c r="AG86" i="31"/>
  <c r="AG87" i="31"/>
  <c r="AG88" i="31"/>
  <c r="AG85" i="31"/>
  <c r="E84" i="31"/>
  <c r="C84" i="31"/>
  <c r="O83" i="31" l="1"/>
  <c r="B54" i="7" l="1"/>
  <c r="AB162" i="28" l="1"/>
  <c r="AA162" i="28"/>
  <c r="Z162" i="28"/>
  <c r="Y162" i="28"/>
  <c r="X162" i="28"/>
  <c r="W162" i="28"/>
  <c r="V162" i="28"/>
  <c r="U162" i="28"/>
  <c r="T162" i="28"/>
  <c r="S162" i="28"/>
  <c r="R162" i="28"/>
  <c r="Q162" i="28"/>
  <c r="P162" i="28"/>
  <c r="O162" i="28"/>
  <c r="N162" i="28"/>
  <c r="M162" i="28"/>
  <c r="AB161" i="28"/>
  <c r="AA161" i="28"/>
  <c r="Z161" i="28"/>
  <c r="Y161" i="28"/>
  <c r="X161" i="28"/>
  <c r="W161" i="28"/>
  <c r="V161" i="28"/>
  <c r="U161" i="28"/>
  <c r="T161" i="28"/>
  <c r="S161" i="28"/>
  <c r="R161" i="28"/>
  <c r="Q161" i="28"/>
  <c r="P161" i="28"/>
  <c r="O161" i="28"/>
  <c r="N161" i="28"/>
  <c r="M161" i="28"/>
  <c r="K161" i="28"/>
  <c r="F161" i="28"/>
  <c r="AB160" i="28"/>
  <c r="AA160" i="28"/>
  <c r="Z160" i="28"/>
  <c r="Y160" i="28"/>
  <c r="X160" i="28"/>
  <c r="W160" i="28"/>
  <c r="V160" i="28"/>
  <c r="U160" i="28"/>
  <c r="T160" i="28"/>
  <c r="S160" i="28"/>
  <c r="R160" i="28"/>
  <c r="Q160" i="28"/>
  <c r="P160" i="28"/>
  <c r="O160" i="28"/>
  <c r="N160" i="28"/>
  <c r="M160" i="28"/>
  <c r="AB137" i="28" l="1"/>
  <c r="AA137" i="28"/>
  <c r="Z137" i="28"/>
  <c r="Y137" i="28"/>
  <c r="X137" i="28"/>
  <c r="W137" i="28"/>
  <c r="V137" i="28"/>
  <c r="U137" i="28"/>
  <c r="T137" i="28"/>
  <c r="S137" i="28"/>
  <c r="R137" i="28"/>
  <c r="Q137" i="28"/>
  <c r="P137" i="28"/>
  <c r="O137" i="28"/>
  <c r="N137" i="28"/>
  <c r="M137" i="28"/>
  <c r="AB136" i="28"/>
  <c r="AA136" i="28"/>
  <c r="Z136" i="28"/>
  <c r="Y136" i="28"/>
  <c r="X136" i="28"/>
  <c r="W136" i="28"/>
  <c r="V136" i="28"/>
  <c r="U136" i="28"/>
  <c r="T136" i="28"/>
  <c r="S136" i="28"/>
  <c r="R136" i="28"/>
  <c r="Q136" i="28"/>
  <c r="P136" i="28"/>
  <c r="O136" i="28"/>
  <c r="N136" i="28"/>
  <c r="M136" i="28"/>
  <c r="K136" i="28"/>
  <c r="F136" i="28"/>
  <c r="AB135" i="28"/>
  <c r="AA135" i="28"/>
  <c r="Z135" i="28"/>
  <c r="Y135" i="28"/>
  <c r="X135" i="28"/>
  <c r="W135" i="28"/>
  <c r="V135" i="28"/>
  <c r="U135" i="28"/>
  <c r="T135" i="28"/>
  <c r="S135" i="28"/>
  <c r="R135" i="28"/>
  <c r="Q135" i="28"/>
  <c r="P135" i="28"/>
  <c r="O135" i="28"/>
  <c r="N135" i="28"/>
  <c r="M135" i="28"/>
  <c r="G363" i="28" l="1"/>
  <c r="H363" i="28"/>
  <c r="I363" i="28"/>
  <c r="J363" i="28"/>
  <c r="K363" i="28"/>
  <c r="L363" i="28"/>
  <c r="M363" i="28"/>
  <c r="N363" i="28"/>
  <c r="O363" i="28"/>
  <c r="P363" i="28"/>
  <c r="Q363" i="28"/>
  <c r="R363" i="28"/>
  <c r="S363" i="28"/>
  <c r="T363" i="28"/>
  <c r="U363" i="28"/>
  <c r="V363" i="28"/>
  <c r="W363" i="28"/>
  <c r="X363" i="28"/>
  <c r="Y363" i="28"/>
  <c r="Z363" i="28"/>
  <c r="AA363" i="28"/>
  <c r="AB363" i="28"/>
  <c r="AC363" i="28"/>
  <c r="G364" i="28"/>
  <c r="H364" i="28"/>
  <c r="I364" i="28"/>
  <c r="J364" i="28"/>
  <c r="K364" i="28"/>
  <c r="L364" i="28"/>
  <c r="M364" i="28"/>
  <c r="N364" i="28"/>
  <c r="O364" i="28"/>
  <c r="P364" i="28"/>
  <c r="Q364" i="28"/>
  <c r="R364" i="28"/>
  <c r="S364" i="28"/>
  <c r="T364" i="28"/>
  <c r="U364" i="28"/>
  <c r="V364" i="28"/>
  <c r="W364" i="28"/>
  <c r="X364" i="28"/>
  <c r="Y364" i="28"/>
  <c r="Z364" i="28"/>
  <c r="AA364" i="28"/>
  <c r="AB364" i="28"/>
  <c r="AC364" i="28"/>
  <c r="G365" i="28"/>
  <c r="H365" i="28"/>
  <c r="I365" i="28"/>
  <c r="J365" i="28"/>
  <c r="K365" i="28"/>
  <c r="L365" i="28"/>
  <c r="M365" i="28"/>
  <c r="N365" i="28"/>
  <c r="O365" i="28"/>
  <c r="P365" i="28"/>
  <c r="Q365" i="28"/>
  <c r="R365" i="28"/>
  <c r="S365" i="28"/>
  <c r="T365" i="28"/>
  <c r="U365" i="28"/>
  <c r="V365" i="28"/>
  <c r="W365" i="28"/>
  <c r="X365" i="28"/>
  <c r="Y365" i="28"/>
  <c r="Z365" i="28"/>
  <c r="AA365" i="28"/>
  <c r="AB365" i="28"/>
  <c r="AC365" i="28"/>
  <c r="G366" i="28"/>
  <c r="H366" i="28"/>
  <c r="I366" i="28"/>
  <c r="J366" i="28"/>
  <c r="K366" i="28"/>
  <c r="L366" i="28"/>
  <c r="M366" i="28"/>
  <c r="N366" i="28"/>
  <c r="O366" i="28"/>
  <c r="P366" i="28"/>
  <c r="Q366" i="28"/>
  <c r="R366" i="28"/>
  <c r="S366" i="28"/>
  <c r="T366" i="28"/>
  <c r="U366" i="28"/>
  <c r="V366" i="28"/>
  <c r="W366" i="28"/>
  <c r="X366" i="28"/>
  <c r="Y366" i="28"/>
  <c r="Z366" i="28"/>
  <c r="AA366" i="28"/>
  <c r="AB366" i="28"/>
  <c r="AC366" i="28"/>
  <c r="G367" i="28"/>
  <c r="H367" i="28"/>
  <c r="I367" i="28"/>
  <c r="J367" i="28"/>
  <c r="K367" i="28"/>
  <c r="L367" i="28"/>
  <c r="M367" i="28"/>
  <c r="N367" i="28"/>
  <c r="O367" i="28"/>
  <c r="P367" i="28"/>
  <c r="Q367" i="28"/>
  <c r="R367" i="28"/>
  <c r="S367" i="28"/>
  <c r="T367" i="28"/>
  <c r="U367" i="28"/>
  <c r="V367" i="28"/>
  <c r="W367" i="28"/>
  <c r="X367" i="28"/>
  <c r="Y367" i="28"/>
  <c r="Z367" i="28"/>
  <c r="AA367" i="28"/>
  <c r="AB367" i="28"/>
  <c r="AC367" i="28"/>
  <c r="G368" i="28"/>
  <c r="H368" i="28"/>
  <c r="I368" i="28"/>
  <c r="J368" i="28"/>
  <c r="K368" i="28"/>
  <c r="L368" i="28"/>
  <c r="M368" i="28"/>
  <c r="N368" i="28"/>
  <c r="O368" i="28"/>
  <c r="P368" i="28"/>
  <c r="Q368" i="28"/>
  <c r="R368" i="28"/>
  <c r="S368" i="28"/>
  <c r="T368" i="28"/>
  <c r="U368" i="28"/>
  <c r="V368" i="28"/>
  <c r="W368" i="28"/>
  <c r="X368" i="28"/>
  <c r="Y368" i="28"/>
  <c r="Z368" i="28"/>
  <c r="AA368" i="28"/>
  <c r="AB368" i="28"/>
  <c r="AC368" i="28"/>
  <c r="F367" i="28"/>
  <c r="F368" i="28"/>
  <c r="F366" i="28"/>
  <c r="F364" i="28"/>
  <c r="F365" i="28"/>
  <c r="A53" i="28"/>
  <c r="A50" i="28"/>
  <c r="A44" i="28"/>
  <c r="A41" i="28"/>
  <c r="A38" i="28"/>
  <c r="A35" i="28"/>
  <c r="I30" i="1" l="1"/>
  <c r="A14" i="7" l="1"/>
  <c r="A15" i="7"/>
  <c r="A16" i="7"/>
  <c r="A17" i="7"/>
  <c r="A18" i="7"/>
  <c r="A19" i="7"/>
  <c r="A20" i="7"/>
  <c r="A21" i="7"/>
  <c r="A22" i="7"/>
  <c r="A23" i="7"/>
  <c r="A24" i="7"/>
  <c r="A25" i="7"/>
  <c r="A26" i="7"/>
  <c r="A27" i="7"/>
  <c r="A28" i="7"/>
  <c r="A29" i="7"/>
  <c r="A30" i="7"/>
  <c r="A31" i="7"/>
  <c r="A32" i="7"/>
  <c r="A33" i="7"/>
  <c r="A34" i="7"/>
  <c r="A10" i="7"/>
  <c r="E28" i="29" l="1"/>
  <c r="A7" i="18" l="1"/>
  <c r="A8" i="18"/>
  <c r="A9" i="18"/>
  <c r="A10" i="18"/>
  <c r="A11" i="18"/>
  <c r="A12" i="18"/>
  <c r="A13" i="18"/>
  <c r="A14" i="18"/>
  <c r="A15" i="18"/>
  <c r="A16" i="18"/>
  <c r="A17" i="18"/>
  <c r="A18" i="18"/>
  <c r="A19" i="18"/>
  <c r="A20" i="18"/>
  <c r="A21" i="18"/>
  <c r="A22" i="18"/>
  <c r="A23" i="18"/>
  <c r="A24" i="18"/>
  <c r="A25" i="18"/>
  <c r="A26" i="18"/>
  <c r="A27" i="18"/>
  <c r="A3" i="18"/>
  <c r="D23" i="13"/>
  <c r="D22" i="13"/>
  <c r="D21" i="13"/>
  <c r="D19" i="13"/>
  <c r="D18" i="13"/>
  <c r="D17" i="13"/>
  <c r="D15" i="13"/>
  <c r="D12" i="13" l="1"/>
  <c r="A60" i="28"/>
  <c r="A63" i="28" s="1"/>
  <c r="A69" i="28" s="1"/>
  <c r="A72" i="28" s="1"/>
  <c r="A75" i="28" s="1"/>
  <c r="A78" i="28" s="1"/>
  <c r="B57" i="28"/>
  <c r="B60" i="28" s="1"/>
  <c r="B63" i="28" s="1"/>
  <c r="D27" i="13"/>
  <c r="D16" i="13"/>
  <c r="B82" i="28"/>
  <c r="B85" i="28" s="1"/>
  <c r="B88" i="28" s="1"/>
  <c r="B91" i="28" s="1"/>
  <c r="B94" i="28" s="1"/>
  <c r="B97" i="28" s="1"/>
  <c r="B100" i="28" s="1"/>
  <c r="B103" i="28" s="1"/>
  <c r="B107" i="28"/>
  <c r="B113" i="28" s="1"/>
  <c r="G128" i="28"/>
  <c r="H128" i="28"/>
  <c r="I128" i="28"/>
  <c r="J128" i="28"/>
  <c r="K128" i="28"/>
  <c r="L128" i="28"/>
  <c r="M128" i="28"/>
  <c r="N128" i="28"/>
  <c r="O128" i="28"/>
  <c r="P128" i="28"/>
  <c r="Q128" i="28"/>
  <c r="R128" i="28"/>
  <c r="S128" i="28"/>
  <c r="T128" i="28"/>
  <c r="U128" i="28"/>
  <c r="V128" i="28"/>
  <c r="W128" i="28"/>
  <c r="X128" i="28"/>
  <c r="Y128" i="28"/>
  <c r="Z128" i="28"/>
  <c r="AA128" i="28"/>
  <c r="AB128" i="28"/>
  <c r="AC128" i="28"/>
  <c r="G129" i="28"/>
  <c r="H129" i="28"/>
  <c r="I129" i="28"/>
  <c r="J129" i="28"/>
  <c r="K129" i="28"/>
  <c r="L129" i="28"/>
  <c r="M129" i="28"/>
  <c r="N129" i="28"/>
  <c r="O129" i="28"/>
  <c r="P129" i="28"/>
  <c r="Q129" i="28"/>
  <c r="R129" i="28"/>
  <c r="S129" i="28"/>
  <c r="T129" i="28"/>
  <c r="U129" i="28"/>
  <c r="V129" i="28"/>
  <c r="W129" i="28"/>
  <c r="X129" i="28"/>
  <c r="Y129" i="28"/>
  <c r="Z129" i="28"/>
  <c r="AA129" i="28"/>
  <c r="AB129" i="28"/>
  <c r="AC129" i="28"/>
  <c r="G130" i="28"/>
  <c r="H130" i="28"/>
  <c r="I130" i="28"/>
  <c r="J130" i="28"/>
  <c r="K130" i="28"/>
  <c r="L130" i="28"/>
  <c r="M130" i="28"/>
  <c r="N130" i="28"/>
  <c r="O130" i="28"/>
  <c r="P130" i="28"/>
  <c r="Q130" i="28"/>
  <c r="R130" i="28"/>
  <c r="S130" i="28"/>
  <c r="T130" i="28"/>
  <c r="U130" i="28"/>
  <c r="V130" i="28"/>
  <c r="W130" i="28"/>
  <c r="X130" i="28"/>
  <c r="Y130" i="28"/>
  <c r="Z130" i="28"/>
  <c r="AA130" i="28"/>
  <c r="AB130" i="28"/>
  <c r="AC130" i="28"/>
  <c r="F129" i="28"/>
  <c r="F130" i="28"/>
  <c r="F128" i="28"/>
  <c r="G125" i="28"/>
  <c r="H125" i="28"/>
  <c r="I125" i="28"/>
  <c r="J125" i="28"/>
  <c r="K125" i="28"/>
  <c r="L125" i="28"/>
  <c r="M125" i="28"/>
  <c r="N125" i="28"/>
  <c r="O125" i="28"/>
  <c r="P125" i="28"/>
  <c r="Q125" i="28"/>
  <c r="R125" i="28"/>
  <c r="S125" i="28"/>
  <c r="T125" i="28"/>
  <c r="U125" i="28"/>
  <c r="V125" i="28"/>
  <c r="W125" i="28"/>
  <c r="X125" i="28"/>
  <c r="Y125" i="28"/>
  <c r="Z125" i="28"/>
  <c r="AA125" i="28"/>
  <c r="AB125" i="28"/>
  <c r="AC125" i="28"/>
  <c r="G126" i="28"/>
  <c r="H126" i="28"/>
  <c r="I126" i="28"/>
  <c r="J126" i="28"/>
  <c r="K126" i="28"/>
  <c r="L126" i="28"/>
  <c r="M126" i="28"/>
  <c r="N126" i="28"/>
  <c r="O126" i="28"/>
  <c r="P126" i="28"/>
  <c r="Q126" i="28"/>
  <c r="R126" i="28"/>
  <c r="S126" i="28"/>
  <c r="T126" i="28"/>
  <c r="U126" i="28"/>
  <c r="V126" i="28"/>
  <c r="W126" i="28"/>
  <c r="X126" i="28"/>
  <c r="Y126" i="28"/>
  <c r="Z126" i="28"/>
  <c r="AA126" i="28"/>
  <c r="AB126" i="28"/>
  <c r="AC126" i="28"/>
  <c r="G127" i="28"/>
  <c r="H127" i="28"/>
  <c r="I127" i="28"/>
  <c r="J127" i="28"/>
  <c r="K127" i="28"/>
  <c r="L127" i="28"/>
  <c r="M127" i="28"/>
  <c r="N127" i="28"/>
  <c r="O127" i="28"/>
  <c r="P127" i="28"/>
  <c r="Q127" i="28"/>
  <c r="R127" i="28"/>
  <c r="S127" i="28"/>
  <c r="T127" i="28"/>
  <c r="U127" i="28"/>
  <c r="V127" i="28"/>
  <c r="W127" i="28"/>
  <c r="X127" i="28"/>
  <c r="Y127" i="28"/>
  <c r="Z127" i="28"/>
  <c r="AA127" i="28"/>
  <c r="AB127" i="28"/>
  <c r="AC127" i="28"/>
  <c r="F126" i="28"/>
  <c r="F127" i="28"/>
  <c r="F125" i="28"/>
  <c r="A113" i="28"/>
  <c r="A119" i="28" s="1"/>
  <c r="A125" i="28" s="1"/>
  <c r="A110" i="28"/>
  <c r="A85" i="28"/>
  <c r="A88" i="28" s="1"/>
  <c r="A91" i="28" s="1"/>
  <c r="A94" i="28" s="1"/>
  <c r="A97" i="28" s="1"/>
  <c r="A100" i="28" s="1"/>
  <c r="A103" i="28" s="1"/>
  <c r="D32" i="28"/>
  <c r="B32" i="28"/>
  <c r="A1" i="28"/>
  <c r="B69" i="28" l="1"/>
  <c r="B72" i="28" s="1"/>
  <c r="B75" i="28" s="1"/>
  <c r="B78" i="28" s="1"/>
  <c r="B66" i="28"/>
  <c r="B35" i="28"/>
  <c r="B289" i="28"/>
  <c r="D35" i="28"/>
  <c r="D289" i="28"/>
  <c r="A116" i="28"/>
  <c r="A122" i="28" s="1"/>
  <c r="A128" i="28" s="1"/>
  <c r="B119" i="28"/>
  <c r="B125" i="28" s="1"/>
  <c r="B116" i="28"/>
  <c r="B122" i="28" s="1"/>
  <c r="B128" i="28" s="1"/>
  <c r="B110" i="28"/>
  <c r="D38" i="28" l="1"/>
  <c r="D292" i="28"/>
  <c r="B38" i="28"/>
  <c r="B292" i="28"/>
  <c r="G103" i="28"/>
  <c r="H103" i="28"/>
  <c r="I103" i="28"/>
  <c r="J103" i="28"/>
  <c r="K103" i="28"/>
  <c r="L103" i="28"/>
  <c r="M103" i="28"/>
  <c r="N103" i="28"/>
  <c r="O103" i="28"/>
  <c r="P103" i="28"/>
  <c r="Q103" i="28"/>
  <c r="R103" i="28"/>
  <c r="S103" i="28"/>
  <c r="T103" i="28"/>
  <c r="U103" i="28"/>
  <c r="V103" i="28"/>
  <c r="W103" i="28"/>
  <c r="X103" i="28"/>
  <c r="Y103" i="28"/>
  <c r="Z103" i="28"/>
  <c r="AA103" i="28"/>
  <c r="AB103" i="28"/>
  <c r="AC103" i="28"/>
  <c r="G104" i="28"/>
  <c r="H104" i="28"/>
  <c r="I104" i="28"/>
  <c r="J104" i="28"/>
  <c r="K104" i="28"/>
  <c r="L104" i="28"/>
  <c r="M104" i="28"/>
  <c r="N104" i="28"/>
  <c r="O104" i="28"/>
  <c r="P104" i="28"/>
  <c r="Q104" i="28"/>
  <c r="R104" i="28"/>
  <c r="S104" i="28"/>
  <c r="T104" i="28"/>
  <c r="U104" i="28"/>
  <c r="V104" i="28"/>
  <c r="W104" i="28"/>
  <c r="X104" i="28"/>
  <c r="Y104" i="28"/>
  <c r="Z104" i="28"/>
  <c r="AA104" i="28"/>
  <c r="AB104" i="28"/>
  <c r="AC104" i="28"/>
  <c r="G105" i="28"/>
  <c r="H105" i="28"/>
  <c r="I105" i="28"/>
  <c r="J105" i="28"/>
  <c r="K105" i="28"/>
  <c r="L105" i="28"/>
  <c r="M105" i="28"/>
  <c r="N105" i="28"/>
  <c r="O105" i="28"/>
  <c r="P105" i="28"/>
  <c r="Q105" i="28"/>
  <c r="R105" i="28"/>
  <c r="S105" i="28"/>
  <c r="T105" i="28"/>
  <c r="U105" i="28"/>
  <c r="V105" i="28"/>
  <c r="W105" i="28"/>
  <c r="X105" i="28"/>
  <c r="Y105" i="28"/>
  <c r="Z105" i="28"/>
  <c r="AA105" i="28"/>
  <c r="AB105" i="28"/>
  <c r="AC105" i="28"/>
  <c r="F104" i="28"/>
  <c r="F105" i="28"/>
  <c r="F103" i="28"/>
  <c r="G100" i="28"/>
  <c r="H100" i="28"/>
  <c r="I100" i="28"/>
  <c r="J100" i="28"/>
  <c r="K100" i="28"/>
  <c r="L100" i="28"/>
  <c r="M100" i="28"/>
  <c r="N100" i="28"/>
  <c r="O100" i="28"/>
  <c r="P100" i="28"/>
  <c r="Q100" i="28"/>
  <c r="R100" i="28"/>
  <c r="S100" i="28"/>
  <c r="T100" i="28"/>
  <c r="U100" i="28"/>
  <c r="V100" i="28"/>
  <c r="W100" i="28"/>
  <c r="X100" i="28"/>
  <c r="Y100" i="28"/>
  <c r="Z100" i="28"/>
  <c r="AA100" i="28"/>
  <c r="AB100" i="28"/>
  <c r="AC100" i="28"/>
  <c r="G101" i="28"/>
  <c r="H101" i="28"/>
  <c r="I101" i="28"/>
  <c r="J101" i="28"/>
  <c r="K101" i="28"/>
  <c r="L101" i="28"/>
  <c r="M101" i="28"/>
  <c r="N101" i="28"/>
  <c r="O101" i="28"/>
  <c r="P101" i="28"/>
  <c r="Q101" i="28"/>
  <c r="R101" i="28"/>
  <c r="S101" i="28"/>
  <c r="T101" i="28"/>
  <c r="U101" i="28"/>
  <c r="V101" i="28"/>
  <c r="W101" i="28"/>
  <c r="X101" i="28"/>
  <c r="Y101" i="28"/>
  <c r="Z101" i="28"/>
  <c r="AA101" i="28"/>
  <c r="AB101" i="28"/>
  <c r="AC101" i="28"/>
  <c r="G102" i="28"/>
  <c r="H102" i="28"/>
  <c r="I102" i="28"/>
  <c r="J102" i="28"/>
  <c r="K102" i="28"/>
  <c r="L102" i="28"/>
  <c r="M102" i="28"/>
  <c r="N102" i="28"/>
  <c r="O102" i="28"/>
  <c r="P102" i="28"/>
  <c r="Q102" i="28"/>
  <c r="R102" i="28"/>
  <c r="S102" i="28"/>
  <c r="T102" i="28"/>
  <c r="U102" i="28"/>
  <c r="V102" i="28"/>
  <c r="W102" i="28"/>
  <c r="X102" i="28"/>
  <c r="Y102" i="28"/>
  <c r="Z102" i="28"/>
  <c r="AA102" i="28"/>
  <c r="AB102" i="28"/>
  <c r="AC102" i="28"/>
  <c r="F101" i="28"/>
  <c r="F102" i="28"/>
  <c r="F100" i="28"/>
  <c r="G78" i="28"/>
  <c r="H78" i="28"/>
  <c r="I78" i="28"/>
  <c r="J78" i="28"/>
  <c r="K78" i="28"/>
  <c r="L78" i="28"/>
  <c r="M78" i="28"/>
  <c r="N78" i="28"/>
  <c r="O78" i="28"/>
  <c r="P78" i="28"/>
  <c r="Q78" i="28"/>
  <c r="R78" i="28"/>
  <c r="S78" i="28"/>
  <c r="T78" i="28"/>
  <c r="U78" i="28"/>
  <c r="V78" i="28"/>
  <c r="W78" i="28"/>
  <c r="X78" i="28"/>
  <c r="Y78" i="28"/>
  <c r="Z78" i="28"/>
  <c r="AA78" i="28"/>
  <c r="AB78" i="28"/>
  <c r="AC78" i="28"/>
  <c r="G79" i="28"/>
  <c r="H79" i="28"/>
  <c r="I79" i="28"/>
  <c r="J79" i="28"/>
  <c r="K79" i="28"/>
  <c r="L79" i="28"/>
  <c r="M79" i="28"/>
  <c r="N79" i="28"/>
  <c r="O79" i="28"/>
  <c r="P79" i="28"/>
  <c r="Q79" i="28"/>
  <c r="R79" i="28"/>
  <c r="S79" i="28"/>
  <c r="T79" i="28"/>
  <c r="U79" i="28"/>
  <c r="V79" i="28"/>
  <c r="W79" i="28"/>
  <c r="X79" i="28"/>
  <c r="Y79" i="28"/>
  <c r="Z79" i="28"/>
  <c r="AA79" i="28"/>
  <c r="AB79" i="28"/>
  <c r="AC79" i="28"/>
  <c r="G80" i="28"/>
  <c r="H80" i="28"/>
  <c r="I80" i="28"/>
  <c r="J80" i="28"/>
  <c r="K80" i="28"/>
  <c r="L80" i="28"/>
  <c r="M80" i="28"/>
  <c r="N80" i="28"/>
  <c r="O80" i="28"/>
  <c r="P80" i="28"/>
  <c r="Q80" i="28"/>
  <c r="R80" i="28"/>
  <c r="S80" i="28"/>
  <c r="T80" i="28"/>
  <c r="U80" i="28"/>
  <c r="V80" i="28"/>
  <c r="W80" i="28"/>
  <c r="X80" i="28"/>
  <c r="Y80" i="28"/>
  <c r="Z80" i="28"/>
  <c r="AA80" i="28"/>
  <c r="AB80" i="28"/>
  <c r="AC80" i="28"/>
  <c r="F79" i="28"/>
  <c r="F80" i="28"/>
  <c r="G75" i="28"/>
  <c r="H75" i="28"/>
  <c r="I75" i="28"/>
  <c r="J75" i="28"/>
  <c r="K75" i="28"/>
  <c r="L75" i="28"/>
  <c r="M75" i="28"/>
  <c r="N75" i="28"/>
  <c r="O75" i="28"/>
  <c r="P75" i="28"/>
  <c r="Q75" i="28"/>
  <c r="R75" i="28"/>
  <c r="S75" i="28"/>
  <c r="T75" i="28"/>
  <c r="U75" i="28"/>
  <c r="V75" i="28"/>
  <c r="W75" i="28"/>
  <c r="X75" i="28"/>
  <c r="Y75" i="28"/>
  <c r="Z75" i="28"/>
  <c r="AA75" i="28"/>
  <c r="AB75" i="28"/>
  <c r="AC75" i="28"/>
  <c r="G76" i="28"/>
  <c r="H76" i="28"/>
  <c r="I76" i="28"/>
  <c r="J76" i="28"/>
  <c r="K76" i="28"/>
  <c r="L76" i="28"/>
  <c r="M76" i="28"/>
  <c r="N76" i="28"/>
  <c r="O76" i="28"/>
  <c r="P76" i="28"/>
  <c r="Q76" i="28"/>
  <c r="R76" i="28"/>
  <c r="S76" i="28"/>
  <c r="T76" i="28"/>
  <c r="U76" i="28"/>
  <c r="V76" i="28"/>
  <c r="W76" i="28"/>
  <c r="X76" i="28"/>
  <c r="Y76" i="28"/>
  <c r="Z76" i="28"/>
  <c r="AA76" i="28"/>
  <c r="AB76" i="28"/>
  <c r="AC76" i="28"/>
  <c r="G77" i="28"/>
  <c r="H77" i="28"/>
  <c r="I77" i="28"/>
  <c r="J77" i="28"/>
  <c r="K77" i="28"/>
  <c r="L77" i="28"/>
  <c r="M77" i="28"/>
  <c r="N77" i="28"/>
  <c r="O77" i="28"/>
  <c r="P77" i="28"/>
  <c r="Q77" i="28"/>
  <c r="R77" i="28"/>
  <c r="S77" i="28"/>
  <c r="T77" i="28"/>
  <c r="U77" i="28"/>
  <c r="V77" i="28"/>
  <c r="W77" i="28"/>
  <c r="X77" i="28"/>
  <c r="Y77" i="28"/>
  <c r="Z77" i="28"/>
  <c r="AA77" i="28"/>
  <c r="AB77" i="28"/>
  <c r="AC77" i="28"/>
  <c r="F76" i="28"/>
  <c r="F77" i="28"/>
  <c r="F78" i="28"/>
  <c r="F75" i="28"/>
  <c r="G53" i="28"/>
  <c r="H53" i="28"/>
  <c r="I53" i="28"/>
  <c r="J53" i="28"/>
  <c r="K53" i="28"/>
  <c r="L53" i="28"/>
  <c r="M53" i="28"/>
  <c r="N53" i="28"/>
  <c r="O53" i="28"/>
  <c r="P53" i="28"/>
  <c r="Q53" i="28"/>
  <c r="R53" i="28"/>
  <c r="S53" i="28"/>
  <c r="T53" i="28"/>
  <c r="U53" i="28"/>
  <c r="V53" i="28"/>
  <c r="W53" i="28"/>
  <c r="X53" i="28"/>
  <c r="Y53" i="28"/>
  <c r="Z53" i="28"/>
  <c r="AA53" i="28"/>
  <c r="AB53" i="28"/>
  <c r="AC53" i="28"/>
  <c r="G54" i="28"/>
  <c r="H54" i="28"/>
  <c r="I54" i="28"/>
  <c r="J54" i="28"/>
  <c r="K54" i="28"/>
  <c r="L54" i="28"/>
  <c r="M54" i="28"/>
  <c r="N54" i="28"/>
  <c r="O54" i="28"/>
  <c r="P54" i="28"/>
  <c r="Q54" i="28"/>
  <c r="R54" i="28"/>
  <c r="S54" i="28"/>
  <c r="T54" i="28"/>
  <c r="U54" i="28"/>
  <c r="V54" i="28"/>
  <c r="W54" i="28"/>
  <c r="X54" i="28"/>
  <c r="Y54" i="28"/>
  <c r="Z54" i="28"/>
  <c r="AA54" i="28"/>
  <c r="AB54" i="28"/>
  <c r="AC54" i="28"/>
  <c r="G55" i="28"/>
  <c r="H55" i="28"/>
  <c r="I55" i="28"/>
  <c r="J55" i="28"/>
  <c r="K55" i="28"/>
  <c r="L55" i="28"/>
  <c r="M55" i="28"/>
  <c r="N55" i="28"/>
  <c r="O55" i="28"/>
  <c r="P55" i="28"/>
  <c r="Q55" i="28"/>
  <c r="R55" i="28"/>
  <c r="S55" i="28"/>
  <c r="T55" i="28"/>
  <c r="U55" i="28"/>
  <c r="V55" i="28"/>
  <c r="W55" i="28"/>
  <c r="X55" i="28"/>
  <c r="Y55" i="28"/>
  <c r="Z55" i="28"/>
  <c r="AA55" i="28"/>
  <c r="AB55" i="28"/>
  <c r="AC55" i="28"/>
  <c r="F54" i="28"/>
  <c r="F55" i="28"/>
  <c r="G50" i="28"/>
  <c r="H50" i="28"/>
  <c r="I50" i="28"/>
  <c r="J50" i="28"/>
  <c r="K50" i="28"/>
  <c r="L50" i="28"/>
  <c r="M50" i="28"/>
  <c r="N50" i="28"/>
  <c r="O50" i="28"/>
  <c r="P50" i="28"/>
  <c r="Q50" i="28"/>
  <c r="R50" i="28"/>
  <c r="S50" i="28"/>
  <c r="T50" i="28"/>
  <c r="U50" i="28"/>
  <c r="V50" i="28"/>
  <c r="W50" i="28"/>
  <c r="X50" i="28"/>
  <c r="Y50" i="28"/>
  <c r="Z50" i="28"/>
  <c r="AA50" i="28"/>
  <c r="AB50" i="28"/>
  <c r="AC50" i="28"/>
  <c r="G51" i="28"/>
  <c r="H51" i="28"/>
  <c r="I51" i="28"/>
  <c r="J51" i="28"/>
  <c r="K51" i="28"/>
  <c r="L51" i="28"/>
  <c r="M51" i="28"/>
  <c r="N51" i="28"/>
  <c r="O51" i="28"/>
  <c r="P51" i="28"/>
  <c r="Q51" i="28"/>
  <c r="R51" i="28"/>
  <c r="S51" i="28"/>
  <c r="T51" i="28"/>
  <c r="U51" i="28"/>
  <c r="V51" i="28"/>
  <c r="W51" i="28"/>
  <c r="X51" i="28"/>
  <c r="Y51" i="28"/>
  <c r="Z51" i="28"/>
  <c r="AA51" i="28"/>
  <c r="AB51" i="28"/>
  <c r="AC51" i="28"/>
  <c r="G52" i="28"/>
  <c r="H52" i="28"/>
  <c r="I52" i="28"/>
  <c r="J52" i="28"/>
  <c r="K52" i="28"/>
  <c r="L52" i="28"/>
  <c r="M52" i="28"/>
  <c r="N52" i="28"/>
  <c r="O52" i="28"/>
  <c r="P52" i="28"/>
  <c r="Q52" i="28"/>
  <c r="R52" i="28"/>
  <c r="S52" i="28"/>
  <c r="T52" i="28"/>
  <c r="U52" i="28"/>
  <c r="V52" i="28"/>
  <c r="W52" i="28"/>
  <c r="X52" i="28"/>
  <c r="Y52" i="28"/>
  <c r="Z52" i="28"/>
  <c r="AA52" i="28"/>
  <c r="AB52" i="28"/>
  <c r="AC52" i="28"/>
  <c r="F51" i="28"/>
  <c r="F52" i="28"/>
  <c r="F53" i="28"/>
  <c r="F50" i="28"/>
  <c r="B41" i="28" l="1"/>
  <c r="B298" i="28" s="1"/>
  <c r="B295" i="28"/>
  <c r="D41" i="28"/>
  <c r="D295" i="28"/>
  <c r="D28" i="14"/>
  <c r="D44" i="28" l="1"/>
  <c r="D47" i="28" s="1"/>
  <c r="D50" i="28" s="1"/>
  <c r="D53" i="28" s="1"/>
  <c r="D298" i="28"/>
  <c r="B44" i="28"/>
  <c r="B47" i="28" s="1"/>
  <c r="B50" i="28" s="1"/>
  <c r="B53" i="28" s="1"/>
  <c r="M4" i="1"/>
  <c r="G28" i="13"/>
  <c r="C40" i="13"/>
  <c r="F4" i="13" l="1"/>
  <c r="F6" i="13"/>
  <c r="F5" i="13"/>
  <c r="F10" i="13"/>
  <c r="F19" i="13"/>
  <c r="F17" i="13"/>
  <c r="F14" i="13"/>
  <c r="F18" i="13"/>
  <c r="F16" i="13"/>
  <c r="F15" i="13"/>
  <c r="C42" i="13"/>
  <c r="C14" i="9"/>
  <c r="C39" i="2" l="1"/>
  <c r="B39" i="2"/>
  <c r="D29" i="14"/>
  <c r="D30" i="14"/>
  <c r="D31" i="14"/>
  <c r="F7" i="13" l="1"/>
  <c r="F8" i="13"/>
  <c r="F9" i="13"/>
  <c r="F11" i="13"/>
  <c r="F12" i="13"/>
  <c r="F13" i="13"/>
  <c r="F20" i="13"/>
  <c r="F21" i="13"/>
  <c r="F22" i="13"/>
  <c r="F23" i="13"/>
  <c r="F24" i="13"/>
  <c r="F25" i="13"/>
  <c r="F26" i="13"/>
  <c r="F27" i="13"/>
  <c r="F3" i="13"/>
  <c r="A1" i="27"/>
  <c r="B22" i="9"/>
  <c r="F28" i="13" l="1"/>
  <c r="I4" i="1" l="1"/>
  <c r="A1" i="7" l="1"/>
  <c r="A1" i="14" l="1"/>
  <c r="I36" i="1" l="1"/>
  <c r="I13" i="1" l="1"/>
  <c r="C12" i="9" l="1"/>
  <c r="G10" i="9"/>
  <c r="A1" i="22"/>
  <c r="A1" i="29"/>
  <c r="A1" i="1"/>
  <c r="A1" i="18"/>
  <c r="A1" i="9"/>
  <c r="G14" i="9"/>
  <c r="G12" i="9" l="1"/>
  <c r="J41" i="1"/>
  <c r="K41" i="1"/>
  <c r="L41" i="1"/>
  <c r="M41" i="1"/>
  <c r="N41" i="1"/>
  <c r="O41" i="1"/>
  <c r="P41" i="1"/>
  <c r="Q41" i="1"/>
  <c r="R41" i="1"/>
  <c r="S41" i="1"/>
  <c r="T41" i="1"/>
  <c r="U41" i="1"/>
  <c r="V41" i="1"/>
  <c r="W41" i="1"/>
  <c r="X41" i="1"/>
  <c r="J42" i="1"/>
  <c r="K42" i="1"/>
  <c r="L42" i="1"/>
  <c r="M42" i="1"/>
  <c r="N42" i="1"/>
  <c r="O42" i="1"/>
  <c r="P42" i="1"/>
  <c r="Q42" i="1"/>
  <c r="R42" i="1"/>
  <c r="S42" i="1"/>
  <c r="T42" i="1"/>
  <c r="U42" i="1"/>
  <c r="V42" i="1"/>
  <c r="W42" i="1"/>
  <c r="X42" i="1"/>
  <c r="I42" i="1"/>
  <c r="I41" i="1"/>
  <c r="J36" i="1"/>
  <c r="K36" i="1"/>
  <c r="L36" i="1"/>
  <c r="M36" i="1"/>
  <c r="N36" i="1"/>
  <c r="O36" i="1"/>
  <c r="P36" i="1"/>
  <c r="Q36" i="1"/>
  <c r="R36" i="1"/>
  <c r="S36" i="1"/>
  <c r="T36" i="1"/>
  <c r="U36" i="1"/>
  <c r="V36" i="1"/>
  <c r="W36" i="1"/>
  <c r="X36" i="1"/>
  <c r="J37" i="1"/>
  <c r="K37" i="1"/>
  <c r="L37" i="1"/>
  <c r="M37" i="1"/>
  <c r="N37" i="1"/>
  <c r="O37" i="1"/>
  <c r="P37" i="1"/>
  <c r="Q37" i="1"/>
  <c r="R37" i="1"/>
  <c r="S37" i="1"/>
  <c r="T37" i="1"/>
  <c r="U37" i="1"/>
  <c r="V37" i="1"/>
  <c r="W37" i="1"/>
  <c r="X37" i="1"/>
  <c r="I37" i="1"/>
  <c r="I34" i="1"/>
  <c r="J31" i="1"/>
  <c r="K31" i="1"/>
  <c r="L31" i="1"/>
  <c r="M31" i="1"/>
  <c r="N31" i="1"/>
  <c r="O31" i="1"/>
  <c r="P31" i="1"/>
  <c r="Q31" i="1"/>
  <c r="R31" i="1"/>
  <c r="S31" i="1"/>
  <c r="T31" i="1"/>
  <c r="U31" i="1"/>
  <c r="V31" i="1"/>
  <c r="W31" i="1"/>
  <c r="X31" i="1"/>
  <c r="J32" i="1"/>
  <c r="K32" i="1"/>
  <c r="L32" i="1"/>
  <c r="M32" i="1"/>
  <c r="N32" i="1"/>
  <c r="O32" i="1"/>
  <c r="P32" i="1"/>
  <c r="Q32" i="1"/>
  <c r="R32" i="1"/>
  <c r="S32" i="1"/>
  <c r="T32" i="1"/>
  <c r="U32" i="1"/>
  <c r="V32" i="1"/>
  <c r="W32" i="1"/>
  <c r="X32" i="1"/>
  <c r="I32" i="1"/>
  <c r="I31" i="1"/>
  <c r="J26" i="1"/>
  <c r="K26" i="1"/>
  <c r="L26" i="1"/>
  <c r="M26" i="1"/>
  <c r="N26" i="1"/>
  <c r="O26" i="1"/>
  <c r="P26" i="1"/>
  <c r="Q26" i="1"/>
  <c r="R26" i="1"/>
  <c r="S26" i="1"/>
  <c r="T26" i="1"/>
  <c r="U26" i="1"/>
  <c r="V26" i="1"/>
  <c r="W26" i="1"/>
  <c r="X26" i="1"/>
  <c r="J27" i="1"/>
  <c r="K27" i="1"/>
  <c r="L27" i="1"/>
  <c r="M27" i="1"/>
  <c r="N27" i="1"/>
  <c r="O27" i="1"/>
  <c r="P27" i="1"/>
  <c r="Q27" i="1"/>
  <c r="R27" i="1"/>
  <c r="S27" i="1"/>
  <c r="T27" i="1"/>
  <c r="U27" i="1"/>
  <c r="V27" i="1"/>
  <c r="W27" i="1"/>
  <c r="X27" i="1"/>
  <c r="I27" i="1"/>
  <c r="I26" i="1"/>
  <c r="J40" i="1"/>
  <c r="K40" i="1"/>
  <c r="L40" i="1"/>
  <c r="M40" i="1"/>
  <c r="N40" i="1"/>
  <c r="O40" i="1"/>
  <c r="P40" i="1"/>
  <c r="Q40" i="1"/>
  <c r="R40" i="1"/>
  <c r="S40" i="1"/>
  <c r="T40" i="1"/>
  <c r="U40" i="1"/>
  <c r="V40" i="1"/>
  <c r="W40" i="1"/>
  <c r="X40" i="1"/>
  <c r="I40" i="1"/>
  <c r="J30" i="1"/>
  <c r="K30" i="1"/>
  <c r="L30" i="1"/>
  <c r="M30" i="1"/>
  <c r="N30" i="1"/>
  <c r="O30" i="1"/>
  <c r="P30" i="1"/>
  <c r="Q30" i="1"/>
  <c r="R30" i="1"/>
  <c r="S30" i="1"/>
  <c r="T30" i="1"/>
  <c r="U30" i="1"/>
  <c r="V30" i="1"/>
  <c r="W30" i="1"/>
  <c r="X30" i="1"/>
  <c r="C16" i="18" l="1"/>
  <c r="H16" i="18" s="1"/>
  <c r="C17" i="18"/>
  <c r="H17" i="18" s="1"/>
  <c r="E29" i="29" l="1"/>
  <c r="B21" i="29"/>
  <c r="I95" i="1"/>
  <c r="I100" i="1"/>
  <c r="G89" i="28" l="1"/>
  <c r="H89" i="28"/>
  <c r="I89" i="28"/>
  <c r="J89" i="28"/>
  <c r="K89" i="28"/>
  <c r="L89" i="28"/>
  <c r="M89" i="28"/>
  <c r="N89" i="28"/>
  <c r="O89" i="28"/>
  <c r="P89" i="28"/>
  <c r="Q89" i="28"/>
  <c r="R89" i="28"/>
  <c r="S89" i="28"/>
  <c r="T89" i="28"/>
  <c r="U89" i="28"/>
  <c r="V89" i="28"/>
  <c r="W89" i="28"/>
  <c r="X89" i="28"/>
  <c r="Y89" i="28"/>
  <c r="Z89" i="28"/>
  <c r="AA89" i="28"/>
  <c r="AB89" i="28"/>
  <c r="AC89" i="28"/>
  <c r="G90" i="28"/>
  <c r="H90" i="28"/>
  <c r="I90" i="28"/>
  <c r="J90" i="28"/>
  <c r="K90" i="28"/>
  <c r="L90" i="28"/>
  <c r="M90" i="28"/>
  <c r="N90" i="28"/>
  <c r="O90" i="28"/>
  <c r="P90" i="28"/>
  <c r="Q90" i="28"/>
  <c r="R90" i="28"/>
  <c r="S90" i="28"/>
  <c r="T90" i="28"/>
  <c r="U90" i="28"/>
  <c r="V90" i="28"/>
  <c r="W90" i="28"/>
  <c r="X90" i="28"/>
  <c r="Y90" i="28"/>
  <c r="Z90" i="28"/>
  <c r="AA90" i="28"/>
  <c r="AB90" i="28"/>
  <c r="AC90" i="28"/>
  <c r="F90" i="28"/>
  <c r="F89" i="28"/>
  <c r="C14" i="7" l="1"/>
  <c r="C15" i="7"/>
  <c r="C16" i="7"/>
  <c r="C17" i="7"/>
  <c r="C18" i="7"/>
  <c r="C19" i="7"/>
  <c r="C20" i="7"/>
  <c r="C21" i="7"/>
  <c r="C22" i="7"/>
  <c r="C23" i="7"/>
  <c r="C24" i="7"/>
  <c r="C25" i="7"/>
  <c r="C26" i="7"/>
  <c r="C27" i="7"/>
  <c r="C28" i="7"/>
  <c r="C29" i="7"/>
  <c r="C30" i="7"/>
  <c r="C31" i="7"/>
  <c r="C32" i="7"/>
  <c r="C33" i="7"/>
  <c r="C34" i="7"/>
  <c r="C10" i="7"/>
  <c r="X67" i="1" l="1"/>
  <c r="W67" i="1"/>
  <c r="V67" i="1"/>
  <c r="U67" i="1"/>
  <c r="T67" i="1"/>
  <c r="S67" i="1"/>
  <c r="R67" i="1"/>
  <c r="Q67" i="1"/>
  <c r="P67" i="1"/>
  <c r="O67" i="1"/>
  <c r="N67" i="1"/>
  <c r="M67" i="1"/>
  <c r="L67" i="1"/>
  <c r="K67" i="1"/>
  <c r="J67" i="1"/>
  <c r="I67" i="1"/>
  <c r="J13" i="1"/>
  <c r="K13" i="1"/>
  <c r="L13" i="1"/>
  <c r="M13" i="1"/>
  <c r="N13" i="1"/>
  <c r="O13" i="1"/>
  <c r="P13" i="1"/>
  <c r="Q13" i="1"/>
  <c r="R13" i="1"/>
  <c r="S13" i="1"/>
  <c r="T13" i="1"/>
  <c r="U13" i="1"/>
  <c r="V13" i="1"/>
  <c r="W13" i="1"/>
  <c r="X13" i="1"/>
  <c r="X4" i="1"/>
  <c r="X9" i="1" s="1"/>
  <c r="W4" i="1"/>
  <c r="W9" i="1" s="1"/>
  <c r="V4" i="1"/>
  <c r="V9" i="1" s="1"/>
  <c r="U4" i="1"/>
  <c r="U9" i="1" s="1"/>
  <c r="T4" i="1"/>
  <c r="T9" i="1" s="1"/>
  <c r="S4" i="1"/>
  <c r="S9" i="1" s="1"/>
  <c r="R4" i="1"/>
  <c r="R9" i="1" s="1"/>
  <c r="Q4" i="1"/>
  <c r="Q9" i="1" s="1"/>
  <c r="P4" i="1"/>
  <c r="P9" i="1" s="1"/>
  <c r="O4" i="1"/>
  <c r="O9" i="1" s="1"/>
  <c r="N4" i="1"/>
  <c r="N9" i="1" s="1"/>
  <c r="M9" i="1"/>
  <c r="L4" i="1"/>
  <c r="L9" i="1" s="1"/>
  <c r="K4" i="1"/>
  <c r="K9" i="1" s="1"/>
  <c r="J4" i="1"/>
  <c r="J9" i="1" s="1"/>
  <c r="I9" i="1"/>
  <c r="P39" i="1" l="1"/>
  <c r="P38" i="1"/>
  <c r="Q23" i="1"/>
  <c r="Q24" i="1"/>
  <c r="O39" i="1"/>
  <c r="O38" i="1"/>
  <c r="W34" i="1"/>
  <c r="W33" i="1"/>
  <c r="N23" i="1"/>
  <c r="N24" i="1"/>
  <c r="V33" i="1"/>
  <c r="V34" i="1"/>
  <c r="K39" i="1"/>
  <c r="K38" i="1"/>
  <c r="L24" i="1"/>
  <c r="L23" i="1"/>
  <c r="U29" i="1"/>
  <c r="U28" i="1"/>
  <c r="S34" i="1"/>
  <c r="S33" i="1"/>
  <c r="J23" i="1"/>
  <c r="J24" i="1"/>
  <c r="T28" i="1"/>
  <c r="T29" i="1"/>
  <c r="R33" i="1"/>
  <c r="R34" i="1"/>
  <c r="I29" i="1"/>
  <c r="I28" i="1"/>
  <c r="S28" i="1"/>
  <c r="S29" i="1"/>
  <c r="Q33" i="1"/>
  <c r="Q34" i="1"/>
  <c r="N38" i="1"/>
  <c r="N39" i="1"/>
  <c r="L38" i="1"/>
  <c r="L39" i="1"/>
  <c r="W28" i="1"/>
  <c r="W29" i="1"/>
  <c r="K23" i="1"/>
  <c r="K24" i="1"/>
  <c r="R29" i="1"/>
  <c r="R28" i="1"/>
  <c r="P33" i="1"/>
  <c r="P34" i="1"/>
  <c r="O33" i="1"/>
  <c r="O34" i="1"/>
  <c r="J34" i="1"/>
  <c r="J33" i="1"/>
  <c r="X24" i="1"/>
  <c r="X23" i="1"/>
  <c r="L28" i="1"/>
  <c r="L29" i="1"/>
  <c r="V38" i="1"/>
  <c r="V39" i="1"/>
  <c r="O23" i="1"/>
  <c r="O24" i="1"/>
  <c r="M38" i="1"/>
  <c r="M39" i="1"/>
  <c r="X28" i="1"/>
  <c r="X29" i="1"/>
  <c r="V28" i="1"/>
  <c r="V29" i="1"/>
  <c r="T33" i="1"/>
  <c r="T34" i="1"/>
  <c r="Q29" i="1"/>
  <c r="Q28" i="1"/>
  <c r="P29" i="1"/>
  <c r="P28" i="1"/>
  <c r="N33" i="1"/>
  <c r="N34" i="1"/>
  <c r="N29" i="1"/>
  <c r="N28" i="1"/>
  <c r="X39" i="1"/>
  <c r="X38" i="1"/>
  <c r="L34" i="1"/>
  <c r="L33" i="1"/>
  <c r="W24" i="1"/>
  <c r="W23" i="1"/>
  <c r="K29" i="1"/>
  <c r="K28" i="1"/>
  <c r="U39" i="1"/>
  <c r="U38" i="1"/>
  <c r="I24" i="1"/>
  <c r="I23" i="1"/>
  <c r="V23" i="1"/>
  <c r="V24" i="1"/>
  <c r="J29" i="1"/>
  <c r="J28" i="1"/>
  <c r="T38" i="1"/>
  <c r="T39" i="1"/>
  <c r="U24" i="1"/>
  <c r="U23" i="1"/>
  <c r="I38" i="1"/>
  <c r="I39" i="1"/>
  <c r="S39" i="1"/>
  <c r="S38" i="1"/>
  <c r="T23" i="1"/>
  <c r="T24" i="1"/>
  <c r="R38" i="1"/>
  <c r="R39" i="1"/>
  <c r="S24" i="1"/>
  <c r="S23" i="1"/>
  <c r="Q39" i="1"/>
  <c r="Q38" i="1"/>
  <c r="R24" i="1"/>
  <c r="R23" i="1"/>
  <c r="P23" i="1"/>
  <c r="P24" i="1"/>
  <c r="X34" i="1"/>
  <c r="X33" i="1"/>
  <c r="M23" i="1"/>
  <c r="M24" i="1"/>
  <c r="U34" i="1"/>
  <c r="U33" i="1"/>
  <c r="J38" i="1"/>
  <c r="J39" i="1"/>
  <c r="I33" i="1"/>
  <c r="O29" i="1"/>
  <c r="O28" i="1"/>
  <c r="M34" i="1"/>
  <c r="M33" i="1"/>
  <c r="M29" i="1"/>
  <c r="M28" i="1"/>
  <c r="W38" i="1"/>
  <c r="W39" i="1"/>
  <c r="K33" i="1"/>
  <c r="K34" i="1"/>
  <c r="H38" i="1"/>
  <c r="H33" i="1"/>
  <c r="H28" i="1"/>
  <c r="J131" i="1" l="1"/>
  <c r="K131" i="1"/>
  <c r="L131" i="1"/>
  <c r="M131" i="1"/>
  <c r="N131" i="1"/>
  <c r="O131" i="1"/>
  <c r="P131" i="1"/>
  <c r="Q131" i="1"/>
  <c r="R131" i="1"/>
  <c r="S131" i="1"/>
  <c r="T131" i="1"/>
  <c r="U131" i="1"/>
  <c r="V131" i="1"/>
  <c r="W131" i="1"/>
  <c r="X131" i="1"/>
  <c r="J132" i="1"/>
  <c r="K132" i="1"/>
  <c r="L132" i="1"/>
  <c r="M132" i="1"/>
  <c r="N132" i="1"/>
  <c r="O132" i="1"/>
  <c r="P132" i="1"/>
  <c r="Q132" i="1"/>
  <c r="R132" i="1"/>
  <c r="S132" i="1"/>
  <c r="T132" i="1"/>
  <c r="U132" i="1"/>
  <c r="V132" i="1"/>
  <c r="W132" i="1"/>
  <c r="X132" i="1"/>
  <c r="J95" i="1"/>
  <c r="J115" i="1" s="1"/>
  <c r="K95" i="1"/>
  <c r="K115" i="1" s="1"/>
  <c r="L95" i="1"/>
  <c r="L115" i="1" s="1"/>
  <c r="M95" i="1"/>
  <c r="M115" i="1" s="1"/>
  <c r="N95" i="1"/>
  <c r="N115" i="1" s="1"/>
  <c r="O95" i="1"/>
  <c r="O115" i="1" s="1"/>
  <c r="P95" i="1"/>
  <c r="P115" i="1" s="1"/>
  <c r="Q95" i="1"/>
  <c r="Q115" i="1" s="1"/>
  <c r="R95" i="1"/>
  <c r="R115" i="1" s="1"/>
  <c r="S95" i="1"/>
  <c r="S115" i="1" s="1"/>
  <c r="T95" i="1"/>
  <c r="T115" i="1" s="1"/>
  <c r="U95" i="1"/>
  <c r="U115" i="1" s="1"/>
  <c r="V95" i="1"/>
  <c r="V115" i="1" s="1"/>
  <c r="W95" i="1"/>
  <c r="W115" i="1" s="1"/>
  <c r="X95" i="1"/>
  <c r="X115" i="1" s="1"/>
  <c r="I115" i="1"/>
  <c r="I132" i="1"/>
  <c r="I131" i="1"/>
  <c r="J85" i="1"/>
  <c r="J105" i="1" s="1"/>
  <c r="K85" i="1"/>
  <c r="K105" i="1" s="1"/>
  <c r="L85" i="1"/>
  <c r="L105" i="1" s="1"/>
  <c r="M85" i="1"/>
  <c r="M105" i="1" s="1"/>
  <c r="N85" i="1"/>
  <c r="N105" i="1" s="1"/>
  <c r="O85" i="1"/>
  <c r="O105" i="1" s="1"/>
  <c r="P85" i="1"/>
  <c r="P105" i="1" s="1"/>
  <c r="Q85" i="1"/>
  <c r="Q105" i="1" s="1"/>
  <c r="R85" i="1"/>
  <c r="R105" i="1" s="1"/>
  <c r="S85" i="1"/>
  <c r="S105" i="1" s="1"/>
  <c r="T85" i="1"/>
  <c r="T105" i="1" s="1"/>
  <c r="U85" i="1"/>
  <c r="U105" i="1" s="1"/>
  <c r="V85" i="1"/>
  <c r="V105" i="1" s="1"/>
  <c r="W85" i="1"/>
  <c r="W105" i="1" s="1"/>
  <c r="X85" i="1"/>
  <c r="X105" i="1" s="1"/>
  <c r="J100" i="1"/>
  <c r="K100" i="1"/>
  <c r="L100" i="1"/>
  <c r="M100" i="1"/>
  <c r="N100" i="1"/>
  <c r="O100" i="1"/>
  <c r="P100" i="1"/>
  <c r="Q100" i="1"/>
  <c r="R100" i="1"/>
  <c r="S100" i="1"/>
  <c r="T100" i="1"/>
  <c r="U100" i="1"/>
  <c r="V100" i="1"/>
  <c r="W100" i="1"/>
  <c r="X100" i="1"/>
  <c r="I85" i="1"/>
  <c r="I105" i="1" s="1"/>
  <c r="C39" i="13" l="1"/>
  <c r="C18" i="18" l="1"/>
  <c r="H18" i="18" s="1"/>
  <c r="A1" i="30" l="1"/>
  <c r="C7" i="18" l="1"/>
  <c r="H7" i="18" s="1"/>
  <c r="C8" i="18"/>
  <c r="H8" i="18" s="1"/>
  <c r="C9" i="18"/>
  <c r="H9" i="18" s="1"/>
  <c r="C10" i="18"/>
  <c r="H10" i="18" s="1"/>
  <c r="C11" i="18"/>
  <c r="C12" i="18"/>
  <c r="H12" i="18" s="1"/>
  <c r="C13" i="18"/>
  <c r="H13" i="18" s="1"/>
  <c r="C14" i="18"/>
  <c r="H14" i="18" s="1"/>
  <c r="C15" i="18"/>
  <c r="H15" i="18" s="1"/>
  <c r="C19" i="18"/>
  <c r="H19" i="18" s="1"/>
  <c r="C20" i="18"/>
  <c r="H20" i="18" s="1"/>
  <c r="C21" i="18"/>
  <c r="H21" i="18" s="1"/>
  <c r="C22" i="18"/>
  <c r="H22" i="18" s="1"/>
  <c r="C23" i="18"/>
  <c r="H23" i="18" s="1"/>
  <c r="C24" i="18"/>
  <c r="H24" i="18" s="1"/>
  <c r="C25" i="18"/>
  <c r="H25" i="18" s="1"/>
  <c r="C26" i="18"/>
  <c r="I26" i="18" s="1"/>
  <c r="C27" i="18"/>
  <c r="H27" i="18" s="1"/>
  <c r="C3" i="18"/>
  <c r="H3" i="18" s="1"/>
  <c r="I48" i="1"/>
  <c r="I47" i="1"/>
  <c r="B23" i="9" l="1"/>
  <c r="C15" i="9" s="1"/>
  <c r="H26" i="18"/>
  <c r="I11" i="18"/>
  <c r="H11" i="18"/>
  <c r="C41" i="13"/>
  <c r="C46" i="14"/>
  <c r="C13" i="9" l="1"/>
  <c r="G13" i="9" s="1"/>
  <c r="G17" i="9" s="1"/>
  <c r="B3" i="9" s="1"/>
  <c r="C11" i="9"/>
  <c r="G11" i="9" s="1"/>
  <c r="G15" i="9"/>
  <c r="H16" i="13"/>
  <c r="H17" i="13"/>
  <c r="H18" i="13"/>
  <c r="J22" i="13"/>
  <c r="H23" i="13"/>
  <c r="H21" i="13"/>
  <c r="H24" i="13"/>
  <c r="J25" i="13"/>
  <c r="J16" i="13"/>
  <c r="J17" i="13"/>
  <c r="J18" i="13"/>
  <c r="H19" i="13"/>
  <c r="G16" i="9" l="1"/>
  <c r="G18" i="9" s="1"/>
  <c r="G17" i="18"/>
  <c r="J17" i="18" s="1"/>
  <c r="D24" i="7"/>
  <c r="F24" i="7" s="1"/>
  <c r="G24" i="7" s="1"/>
  <c r="B25" i="18"/>
  <c r="G25" i="18" s="1"/>
  <c r="J25" i="18" s="1"/>
  <c r="D32" i="7"/>
  <c r="F32" i="7" s="1"/>
  <c r="G32" i="7" s="1"/>
  <c r="G18" i="18"/>
  <c r="J18" i="18" s="1"/>
  <c r="D25" i="7"/>
  <c r="F25" i="7" s="1"/>
  <c r="G25" i="7" s="1"/>
  <c r="G16" i="18"/>
  <c r="J16" i="18" s="1"/>
  <c r="D23" i="7"/>
  <c r="F23" i="7" s="1"/>
  <c r="G23" i="7" s="1"/>
  <c r="G22" i="18"/>
  <c r="J22" i="18" s="1"/>
  <c r="D29" i="7"/>
  <c r="F29" i="7" s="1"/>
  <c r="G29" i="7" s="1"/>
  <c r="J23" i="13"/>
  <c r="H25" i="13"/>
  <c r="J24" i="13"/>
  <c r="J21" i="13"/>
  <c r="J19" i="13"/>
  <c r="H22" i="13"/>
  <c r="A3" i="9" l="1"/>
  <c r="C3" i="9" s="1"/>
  <c r="B24" i="18"/>
  <c r="G24" i="18" s="1"/>
  <c r="J24" i="18" s="1"/>
  <c r="D31" i="7"/>
  <c r="F31" i="7" s="1"/>
  <c r="G31" i="7" s="1"/>
  <c r="G19" i="18"/>
  <c r="J19" i="18" s="1"/>
  <c r="D26" i="7"/>
  <c r="F26" i="7" s="1"/>
  <c r="G26" i="7" s="1"/>
  <c r="G23" i="18"/>
  <c r="J23" i="18" s="1"/>
  <c r="D30" i="7"/>
  <c r="F30" i="7" s="1"/>
  <c r="G30" i="7" s="1"/>
  <c r="G21" i="18"/>
  <c r="J21" i="18" s="1"/>
  <c r="D28" i="7"/>
  <c r="F28" i="7" s="1"/>
  <c r="G28" i="7" s="1"/>
  <c r="H27" i="13"/>
  <c r="J27" i="13"/>
  <c r="B27" i="18" l="1"/>
  <c r="G27" i="18" s="1"/>
  <c r="J27" i="18" s="1"/>
  <c r="D34" i="7"/>
  <c r="F34" i="7" s="1"/>
  <c r="G34" i="7" s="1"/>
  <c r="J10" i="13"/>
  <c r="H10" i="13"/>
  <c r="J8" i="13"/>
  <c r="H8" i="13"/>
  <c r="H20" i="13"/>
  <c r="J20" i="13"/>
  <c r="J15" i="13"/>
  <c r="H15" i="13"/>
  <c r="H14" i="13"/>
  <c r="J14" i="13"/>
  <c r="J9" i="13"/>
  <c r="H9" i="13"/>
  <c r="J7" i="13"/>
  <c r="H7" i="13"/>
  <c r="J12" i="13"/>
  <c r="H12" i="13"/>
  <c r="J26" i="13"/>
  <c r="H26" i="13"/>
  <c r="H13" i="13"/>
  <c r="J13" i="13"/>
  <c r="J11" i="13"/>
  <c r="H11" i="13"/>
  <c r="AB4" i="21"/>
  <c r="AB5" i="21"/>
  <c r="AB6" i="21"/>
  <c r="AB7" i="21"/>
  <c r="AB8" i="21"/>
  <c r="H5" i="21"/>
  <c r="H6" i="21"/>
  <c r="H7" i="21"/>
  <c r="H8" i="21"/>
  <c r="H9" i="21"/>
  <c r="H10" i="21"/>
  <c r="H11" i="21"/>
  <c r="H12" i="21"/>
  <c r="H13" i="21"/>
  <c r="H14" i="21"/>
  <c r="H15" i="21"/>
  <c r="H16" i="21"/>
  <c r="H17" i="21"/>
  <c r="H18" i="21"/>
  <c r="H19" i="21"/>
  <c r="H4" i="21"/>
  <c r="H28" i="13" l="1"/>
  <c r="B12" i="18"/>
  <c r="G12" i="18" s="1"/>
  <c r="J12" i="18" s="1"/>
  <c r="D19" i="7"/>
  <c r="F19" i="7" s="1"/>
  <c r="G19" i="7" s="1"/>
  <c r="B9" i="18"/>
  <c r="G9" i="18" s="1"/>
  <c r="J9" i="18" s="1"/>
  <c r="D16" i="7"/>
  <c r="F16" i="7" s="1"/>
  <c r="G16" i="7" s="1"/>
  <c r="G15" i="18"/>
  <c r="J15" i="18" s="1"/>
  <c r="D22" i="7"/>
  <c r="F22" i="7" s="1"/>
  <c r="G22" i="7" s="1"/>
  <c r="B10" i="18"/>
  <c r="G10" i="18" s="1"/>
  <c r="J10" i="18" s="1"/>
  <c r="D17" i="7"/>
  <c r="F17" i="7" s="1"/>
  <c r="G17" i="7" s="1"/>
  <c r="B26" i="18"/>
  <c r="G26" i="18" s="1"/>
  <c r="J26" i="18" s="1"/>
  <c r="D33" i="7"/>
  <c r="F33" i="7" s="1"/>
  <c r="G33" i="7" s="1"/>
  <c r="B7" i="18"/>
  <c r="G7" i="18" s="1"/>
  <c r="J7" i="18" s="1"/>
  <c r="D14" i="7"/>
  <c r="F14" i="7" s="1"/>
  <c r="G14" i="7" s="1"/>
  <c r="G14" i="18"/>
  <c r="D21" i="7"/>
  <c r="F21" i="7" s="1"/>
  <c r="G21" i="7" s="1"/>
  <c r="B20" i="18"/>
  <c r="G20" i="18" s="1"/>
  <c r="J20" i="18" s="1"/>
  <c r="D27" i="7"/>
  <c r="F27" i="7" s="1"/>
  <c r="G27" i="7" s="1"/>
  <c r="B3" i="18"/>
  <c r="G3" i="18" s="1"/>
  <c r="J3" i="18" s="1"/>
  <c r="D10" i="7"/>
  <c r="B8" i="18"/>
  <c r="G8" i="18" s="1"/>
  <c r="J8" i="18" s="1"/>
  <c r="D15" i="7"/>
  <c r="F15" i="7" s="1"/>
  <c r="G15" i="7" s="1"/>
  <c r="B11" i="18"/>
  <c r="G11" i="18" s="1"/>
  <c r="J11" i="18" s="1"/>
  <c r="D18" i="7"/>
  <c r="F18" i="7" s="1"/>
  <c r="B13" i="18"/>
  <c r="G13" i="18" s="1"/>
  <c r="J13" i="18" s="1"/>
  <c r="D20" i="7"/>
  <c r="F20" i="7" s="1"/>
  <c r="G20" i="7" s="1"/>
  <c r="B42" i="7" l="1"/>
  <c r="F10" i="7"/>
  <c r="G10" i="7" s="1"/>
  <c r="B43" i="7"/>
  <c r="C43" i="7" s="1"/>
  <c r="J14" i="18"/>
  <c r="J29" i="18" s="1"/>
  <c r="K31" i="14" s="1"/>
  <c r="G18" i="7"/>
  <c r="B44" i="7" l="1"/>
  <c r="C42" i="7"/>
  <c r="D42" i="7" s="1"/>
  <c r="E42" i="7" s="1"/>
  <c r="D43" i="7"/>
  <c r="E43" i="7" s="1"/>
  <c r="G46" i="7" l="1"/>
  <c r="F44" i="7"/>
  <c r="F42" i="7" s="1"/>
  <c r="D3" i="7" s="1"/>
  <c r="F43" i="7" l="1"/>
  <c r="G43" i="7" s="1"/>
  <c r="I43" i="7" s="1"/>
  <c r="G42" i="7"/>
  <c r="D4" i="7"/>
  <c r="G47" i="7"/>
  <c r="E3" i="7" s="1"/>
  <c r="I42" i="7" l="1"/>
  <c r="E4" i="7"/>
  <c r="I46"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Yousefi, Fatemeh</author>
  </authors>
  <commentList>
    <comment ref="C138" authorId="0" shapeId="0" xr:uid="{35DBC6F7-2E9A-4EB5-82CB-385F054D8BA1}">
      <text>
        <r>
          <rPr>
            <b/>
            <sz val="9"/>
            <color indexed="81"/>
            <rFont val="Tahoma"/>
            <family val="2"/>
          </rPr>
          <t>Yousefi, Fatemeh:</t>
        </r>
        <r>
          <rPr>
            <sz val="9"/>
            <color indexed="81"/>
            <rFont val="Tahoma"/>
            <family val="2"/>
          </rPr>
          <t xml:space="preserve">
1/4" glass</t>
        </r>
      </text>
    </comment>
    <comment ref="C139" authorId="0" shapeId="0" xr:uid="{9E1ED490-89A5-4B5F-95F0-DB8EAA18013C}">
      <text>
        <r>
          <rPr>
            <b/>
            <sz val="9"/>
            <color indexed="81"/>
            <rFont val="Tahoma"/>
            <family val="2"/>
          </rPr>
          <t>Yousefi, Fatemeh:</t>
        </r>
        <r>
          <rPr>
            <sz val="9"/>
            <color indexed="81"/>
            <rFont val="Tahoma"/>
            <family val="2"/>
          </rPr>
          <t xml:space="preserve">
1/4" glass</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Yousefi, Fatemeh</author>
  </authors>
  <commentList>
    <comment ref="V85" authorId="0" shapeId="0" xr:uid="{3B951247-BB6F-4B48-B058-58FEC389B9B9}">
      <text>
        <r>
          <rPr>
            <b/>
            <sz val="9"/>
            <color indexed="81"/>
            <rFont val="Tahoma"/>
            <family val="2"/>
          </rPr>
          <t>Yousefi, Fatemeh:</t>
        </r>
        <r>
          <rPr>
            <sz val="9"/>
            <color indexed="81"/>
            <rFont val="Tahoma"/>
            <family val="2"/>
          </rPr>
          <t xml:space="preserve">
2 batheroom 50/70</t>
        </r>
      </text>
    </comment>
  </commentList>
</comments>
</file>

<file path=xl/sharedStrings.xml><?xml version="1.0" encoding="utf-8"?>
<sst xmlns="http://schemas.openxmlformats.org/spreadsheetml/2006/main" count="2355" uniqueCount="1070">
  <si>
    <t>Data Sources</t>
  </si>
  <si>
    <t>Dataset</t>
  </si>
  <si>
    <t>Dodge 2023</t>
  </si>
  <si>
    <t>CEUS 2022</t>
  </si>
  <si>
    <t>ComStock 2023</t>
  </si>
  <si>
    <t xml:space="preserve"> </t>
  </si>
  <si>
    <t>Prototype</t>
  </si>
  <si>
    <t>PNNL Large Hotel prototype (ASHRAE 90.1-2022)</t>
  </si>
  <si>
    <t>https://www.energycodes.gov/prototype-building-models#Commercial</t>
  </si>
  <si>
    <t>DEER Hotel prototype (June 2024)</t>
  </si>
  <si>
    <t>https://github.com/sound-data/DEER-Prototypes-EnergyPlus</t>
  </si>
  <si>
    <t>DOE Large Hotel 2004 Prototype</t>
  </si>
  <si>
    <t>https://www.energy.gov/eere/buildings/new-construction-commercial-reference-buildings</t>
  </si>
  <si>
    <r>
      <t>CEC Small Hotel prototype</t>
    </r>
    <r>
      <rPr>
        <sz val="10"/>
        <rFont val="Arial"/>
        <family val="2"/>
      </rPr>
      <t xml:space="preserve"> (CBECC 2022.3.1, small Hotel)</t>
    </r>
  </si>
  <si>
    <t>https://bees.noresco.com/software2022.html</t>
  </si>
  <si>
    <t>Codes</t>
  </si>
  <si>
    <t xml:space="preserve">Title 24, part 6, referred to as T24 (1984, 2001, 2007, 2013, 2016, 2022, 2025) </t>
  </si>
  <si>
    <t>ASHRAE 90.1 (2022)</t>
  </si>
  <si>
    <t>Others</t>
  </si>
  <si>
    <t>ACM (2022)</t>
  </si>
  <si>
    <t>Title 24, 2022 - Appendix 5.4A and Appendix 5.4B</t>
  </si>
  <si>
    <t>https://www.energy.ca.gov/publications/2022/2022-nonresidential-and-multifamily-alternative-calculation-method-reference</t>
  </si>
  <si>
    <t xml:space="preserve">2022 Reduced infiltration CASE report </t>
  </si>
  <si>
    <t>https://title24stakeholders.com/wp-content/uploads/2020/10/2022-T24-Final-CASE-Report_Reduce-Infiltration.pdf</t>
  </si>
  <si>
    <t>Honeywell, INNCOM e7 Thermostat User Guide, 2017</t>
  </si>
  <si>
    <t>https://prod-edam.honeywell.com/content/dam/honeywell-edam/hbt/en-us/documents/manuals-and-guides/installation-guides/inncom/hbt-bms-INNCOM-e7-USER-GUIDE.pdf?download=false</t>
  </si>
  <si>
    <t>2019 Outdoor Lighting CASE Report</t>
  </si>
  <si>
    <t>https://title24stakeholders.com/wp-content/uploads/2016/10/T24-2019-CASE-Study-Results-Report-Outdoor-Sources_Final_with-Attachments.pdf</t>
  </si>
  <si>
    <t>California Lodging forecast</t>
  </si>
  <si>
    <t>https://assets.visitcalifornia.com/media/?mediaId=D0CF4716-DD37-4678-852AB388768DE451&amp;viewType=grid</t>
  </si>
  <si>
    <t>2025 State of the Industry Report</t>
  </si>
  <si>
    <t>https://www.ahla.com/sites/default/files/25_SOTI.pdf</t>
  </si>
  <si>
    <t>PNNL 20405, 2010</t>
  </si>
  <si>
    <t>https://www.pnnl.gov/main/publications/external/technical_reports/PNNL-20405.pdf</t>
  </si>
  <si>
    <t>Air leakage Memo, NORESCO, 2025</t>
  </si>
  <si>
    <t>Infiltration_rate_report_14May2025-Short-Version.docx</t>
  </si>
  <si>
    <t>Proposed Updates to Equipment Power Densities and Building Schedules for the 2028 Energy Code, referred to as "Plug load and schedules project with CEC, 2025" (Docket Number =25-BSTD-03  &amp; TN=265693)</t>
  </si>
  <si>
    <t>https://efiling.energy.ca.gov/GetDocument.aspx?tn=265693&amp;DocumentContentId=102545</t>
  </si>
  <si>
    <t>Construction Rate</t>
  </si>
  <si>
    <t>Notes</t>
  </si>
  <si>
    <t xml:space="preserve">Large Hotel </t>
  </si>
  <si>
    <t>is defined as any hotel with floor area above 60,000 ft² , no matter of their number of stories.</t>
  </si>
  <si>
    <t>1984 is  the representative year for the 1984-1997 vintage bin</t>
  </si>
  <si>
    <t xml:space="preserve">"Most large hotels in this vintage bin were built after 1984 (more than 53% ) and the CA energy code did not  noticeably changed between 1984 to 1992) 
Also "Heat Capacity" for external wall is considered between 10.0 to 14.99 (Btu/F/ft²) 
Package A was selected for the thermal properties, and the prescriptive criteria of high-rise office buildings were also applied to the large hotel.			</t>
  </si>
  <si>
    <t>2001 is  the representative year for the 1998-2007 vintage bin</t>
  </si>
  <si>
    <t>Wall and roof prescriptive criteria from 1998 to 2005  remain unchanged except for CZ2 and 6 in 2001 code  (the percentage of change is less than 10%).</t>
  </si>
  <si>
    <t>Since the construction rate between 1998-2005 is greater than the 2006-2007 period,  the envelope properties of 1998 -2005 were chosen for envelope properties. Since the windows requirement considerably changed in the 2001 code,  the nominated year for this vintage is 2001.</t>
  </si>
  <si>
    <t>2013 is  the representative year for the 2008-2018 vintage bin</t>
  </si>
  <si>
    <t>Wall properties remain unchanged from the 2008 code to the 2016 code but the roof did changed. Although the 2016 code introduced improvement for roof in nearly all CZ and for wall in a few CZ, and  construction activity surged between 2017 and 2018, the extended period from 2008 to 2016 resulted in a higher construction rate during that time . As a result, it was decided to select the code that was effective during 2008-2016.</t>
  </si>
  <si>
    <t>Construction activity from 2014-2018  was higher compared to 2008-2013 period. Therefore, the 2013 code was chosen as the representative code. Additionally, the 2013 code modified the solar reflectance requirement for low-sloped roof products ( by approximately 15%), and enhanced window properties.</t>
  </si>
  <si>
    <t xml:space="preserve">Construction rate based on Dodge 2023 Construction data:  </t>
  </si>
  <si>
    <t>Dodge 2023 data include records with either one or multiple projects. "NUMPRO=1" refers to records with only one building per record, while "All extended" includes all records.</t>
  </si>
  <si>
    <t xml:space="preserve">Conclusion: </t>
  </si>
  <si>
    <t>According to Dodge 2023, the average large hotel in California is a 9-story building with a total floor area of 150,000 sf and a footprint of 16,600 sf. In comparison, the PNNL large hotel prototype is a 7-story building with a total floor area of 122,000 sf and a footprint of 17,400 sf. Its footprint is within 5% of the California average, and the prototype is well-established with defined zoning. We have decided to use the PNNL geometry with two additional floors. With this modification, the model aligns with the California building stock assessment, and the percentage of guest rooms will increase.</t>
  </si>
  <si>
    <t>NORESCO, Updated August 2025</t>
  </si>
  <si>
    <t>HotelLarge</t>
  </si>
  <si>
    <t>Characteristic</t>
  </si>
  <si>
    <t>Value</t>
  </si>
  <si>
    <t>Building Type</t>
  </si>
  <si>
    <t>Large Hotel</t>
  </si>
  <si>
    <t>Building Category</t>
  </si>
  <si>
    <t>Nonresidential</t>
  </si>
  <si>
    <t>Vintages</t>
  </si>
  <si>
    <t>4 Vintages: Pre-1978 , 1978-1997 ,1998-2007 , 2008-2018
New Construction (2019+)</t>
  </si>
  <si>
    <t>Based on the vintage bin analysis</t>
  </si>
  <si>
    <t>NonRes-Vintage bins-Draft Report-30Nov2023-Final.docx</t>
  </si>
  <si>
    <t>Shape</t>
  </si>
  <si>
    <t xml:space="preserve">PNNL Hotel Large 2022 prototype, modified by adding two additional living floors, based on Dodge 2023 data analysis.
 </t>
  </si>
  <si>
    <t>Total Floor Area (ft²)</t>
  </si>
  <si>
    <t>153,921 (284 ft x 75 ft)</t>
  </si>
  <si>
    <t>Dodge 2023 data, 
PNNL Hotel Large 2022</t>
  </si>
  <si>
    <t>Aspect Ratio</t>
  </si>
  <si>
    <t xml:space="preserve"> Ground floor:       3.79 (284 ft x 75 ft)
All other floors:    5.07 (284 ft x 56 ft)</t>
  </si>
  <si>
    <t>PNNL Hotel Large 2022</t>
  </si>
  <si>
    <t>Number of Floors</t>
  </si>
  <si>
    <t xml:space="preserve">8 above-ground floors plus one basement </t>
  </si>
  <si>
    <t>Dodge 2023 data,  
PNNL Hotel Large 2022</t>
  </si>
  <si>
    <t>Surface to Floor Area Ratio</t>
  </si>
  <si>
    <t>Roof type</t>
  </si>
  <si>
    <t>Flat roof</t>
  </si>
  <si>
    <t>WWR</t>
  </si>
  <si>
    <t>South: 36.7%, East: 24.5%, North: 26.0%, West: 24.5%
Total: 30.2%</t>
  </si>
  <si>
    <t xml:space="preserve">PNNL Hotel Large 2022 and 
supported by Dodge 2023 data </t>
  </si>
  <si>
    <t>Shading Geometry</t>
  </si>
  <si>
    <t>-</t>
  </si>
  <si>
    <t>Floor to floor height (ft)</t>
  </si>
  <si>
    <t>Basement: 10 ft
Ground floor: 13 ft
2nd - 6th floors: 10 ft</t>
  </si>
  <si>
    <t>Floor to ceiling height (ft)</t>
  </si>
  <si>
    <t>Glazing sill height (ft)</t>
  </si>
  <si>
    <t>6 in.(in ground floor), 3.6 ft. (in upper floors)</t>
  </si>
  <si>
    <t xml:space="preserve">PNNL Hotel Large 2022 </t>
  </si>
  <si>
    <t>Above grade wall area (ft²)</t>
  </si>
  <si>
    <t>Gross wall area  (ft²)</t>
  </si>
  <si>
    <t>Roof area  (ft²)</t>
  </si>
  <si>
    <t>Underground Gross Wall Area  (ft²)</t>
  </si>
  <si>
    <t>Background Data [To be deleted prior to publication]</t>
  </si>
  <si>
    <t xml:space="preserve">Existing Public Prototypes: </t>
  </si>
  <si>
    <t>CPUC</t>
  </si>
  <si>
    <t>PNNL</t>
  </si>
  <si>
    <t xml:space="preserve">Zone </t>
  </si>
  <si>
    <t>Geometry</t>
  </si>
  <si>
    <t>Area share (%)</t>
  </si>
  <si>
    <t>People (ft² per person)</t>
  </si>
  <si>
    <t>Lighting (W/ft²)</t>
  </si>
  <si>
    <t>Plug and Process (W/ft²)</t>
  </si>
  <si>
    <t>Area share</t>
  </si>
  <si>
    <t>Electric Load (W/ft²)</t>
  </si>
  <si>
    <t>Gas Load (W/ft²)</t>
  </si>
  <si>
    <t>Stories</t>
  </si>
  <si>
    <t>4 stories</t>
  </si>
  <si>
    <t>6 Stories + Basement</t>
  </si>
  <si>
    <t>Small Guest room</t>
  </si>
  <si>
    <t>Total floor area (ft²)</t>
  </si>
  <si>
    <t>Large Guest room</t>
  </si>
  <si>
    <t>Planus (ft²)</t>
  </si>
  <si>
    <t>Yes: 68,558</t>
  </si>
  <si>
    <t>No</t>
  </si>
  <si>
    <t>Corridor</t>
  </si>
  <si>
    <t>Multiplier</t>
  </si>
  <si>
    <t>Yes</t>
  </si>
  <si>
    <t>Dining</t>
  </si>
  <si>
    <t>Number of Guest room</t>
  </si>
  <si>
    <t>Kitchen</t>
  </si>
  <si>
    <t>Above Ground WWR</t>
  </si>
  <si>
    <t>Lobby</t>
  </si>
  <si>
    <t>Areas:</t>
  </si>
  <si>
    <t>Laundry</t>
  </si>
  <si>
    <t>Window Opening Area (ft²)</t>
  </si>
  <si>
    <t>Office</t>
  </si>
  <si>
    <t>Skylight Area (ft²)</t>
  </si>
  <si>
    <t>Barcasino</t>
  </si>
  <si>
    <t>Gross Roof Area (ft²)</t>
  </si>
  <si>
    <t>Basement</t>
  </si>
  <si>
    <t>Gross Wall Area (ft²)</t>
  </si>
  <si>
    <t>Retail</t>
  </si>
  <si>
    <t>Above Ground Wall Area (ft²)</t>
  </si>
  <si>
    <t>Mech</t>
  </si>
  <si>
    <t>Loads</t>
  </si>
  <si>
    <t>Storage</t>
  </si>
  <si>
    <t>People (m² per person)</t>
  </si>
  <si>
    <t>Guest room: 37.2</t>
  </si>
  <si>
    <t>Larger Guest room: 16.3
smaller Guest room: 26.0</t>
  </si>
  <si>
    <t>Café</t>
  </si>
  <si>
    <t>Lights (w/m²)</t>
  </si>
  <si>
    <t xml:space="preserve">Guest room: 5.38 </t>
  </si>
  <si>
    <t xml:space="preserve">Guest room: 4.41 </t>
  </si>
  <si>
    <t>Banquet</t>
  </si>
  <si>
    <t>Equipment (w/m²)</t>
  </si>
  <si>
    <t>Guest room: 5.38</t>
  </si>
  <si>
    <t xml:space="preserve">Larger Guest room: 6.75 
smaller Guest room: 10.52 </t>
  </si>
  <si>
    <t>Water heater system</t>
  </si>
  <si>
    <t>Gas</t>
  </si>
  <si>
    <t xml:space="preserve">Gas (main) / Elec </t>
  </si>
  <si>
    <t>Refrigeration</t>
  </si>
  <si>
    <t>Generators</t>
  </si>
  <si>
    <t>Humidification</t>
  </si>
  <si>
    <t xml:space="preserve">Heat Recovery	</t>
  </si>
  <si>
    <t xml:space="preserve">Heat Rejection	</t>
  </si>
  <si>
    <t>HVAC</t>
  </si>
  <si>
    <t>- Guest rooms: SZ VAV No Reheat + DX cooling + Gas heating  
- Kitchen: SZ VAV No Reheat + DX cooling + Gas heating 
- All other zones: MZ VAV Reheat  per floor + DX cooling + water heating coil from boiler</t>
  </si>
  <si>
    <t xml:space="preserve">- Guest rooms: 4PFC + water cooling coil from chiller + water heating coil from Boiler + DOAS with (CAV)
-All other zones: MZ VAV with Reheat + water cooling coil from chiller + water heating coil from boiler </t>
  </si>
  <si>
    <t>Fan simulation</t>
  </si>
  <si>
    <t>"Fan: System Model"</t>
  </si>
  <si>
    <t>"Fan:ConstantVolume" &amp;"Fan:VariableVolume"</t>
  </si>
  <si>
    <t xml:space="preserve">Exhaust fan </t>
  </si>
  <si>
    <t>Laundry, Lobby, Banquet, Dining, Kitchen</t>
  </si>
  <si>
    <t>Space/ Thermal Zone</t>
  </si>
  <si>
    <t>Space Type</t>
  </si>
  <si>
    <t>HVAC System Name/AHU Name</t>
  </si>
  <si>
    <t>Schedule Category</t>
  </si>
  <si>
    <t>Conditioned (Y/N)</t>
  </si>
  <si>
    <t xml:space="preserve">Area Fraction </t>
  </si>
  <si>
    <t>Area (ft²)</t>
  </si>
  <si>
    <t>Volume 
(ft³)</t>
  </si>
  <si>
    <t>Multipliers</t>
  </si>
  <si>
    <t>Number of People</t>
  </si>
  <si>
    <t xml:space="preserve">People 
(Persons/1,000 ft²)
[T24, 2025,Table 120.1-A] </t>
  </si>
  <si>
    <t>Note</t>
  </si>
  <si>
    <t>BasementConference</t>
  </si>
  <si>
    <t>Convention, Conference, Multipurpose and Meeting Area</t>
  </si>
  <si>
    <t>Y</t>
  </si>
  <si>
    <t xml:space="preserve">BasementOffice </t>
  </si>
  <si>
    <t>Office Area (&gt;250 square feet)</t>
  </si>
  <si>
    <t>BasementService</t>
  </si>
  <si>
    <t xml:space="preserve">Service and back up prep </t>
  </si>
  <si>
    <t>ServiceAndBackUpPrep</t>
  </si>
  <si>
    <t>BasementStorage</t>
  </si>
  <si>
    <t>Storage (General)</t>
  </si>
  <si>
    <t>Assembly</t>
  </si>
  <si>
    <t>Retail_1_FloorG</t>
  </si>
  <si>
    <t>Retail Sales Area (Retail Merchandise Sales)</t>
  </si>
  <si>
    <t>Retail_2_FloorG</t>
  </si>
  <si>
    <t>Mech_FloorG</t>
  </si>
  <si>
    <t>Electrical, Mechanical, Telephone Rooms</t>
  </si>
  <si>
    <t>Storage_FloorG</t>
  </si>
  <si>
    <t>Laundry_FloorG</t>
  </si>
  <si>
    <t xml:space="preserve">Laundry Area </t>
  </si>
  <si>
    <t>Cafe_FloorG</t>
  </si>
  <si>
    <t>Dining Area (Cafeteria/Fast Food)</t>
  </si>
  <si>
    <t>Lobby_FloorG</t>
  </si>
  <si>
    <t>Lobby, Main Entry</t>
  </si>
  <si>
    <t>ResidentialCommon</t>
  </si>
  <si>
    <t>5 for Reception  according to T24
 10 for lobby in office accroding to ASHRAE 62.1 Table6-1
33 for Lobby area in both Std</t>
  </si>
  <si>
    <t>GuestRoom_1_FloorM</t>
  </si>
  <si>
    <t>Hotel/Motel Guest Room</t>
  </si>
  <si>
    <t>ResidentialLiving</t>
  </si>
  <si>
    <t>GuestRoom_2_FloorM</t>
  </si>
  <si>
    <t>Basement: conditioned single zone;
Ground Floor: 7 zones including retails, lobby, cafe, laundry, storage and mechanical rooms; 
2nd to 5th Floor (guest-floor): 7 zones per floor, including guest rooms and corridor. Each floor has 42 guest rooms;
6th Floor:  7 zones including guest rooms, banquet room, dining, kitchen and corridor.
Total 179 guest rooms, accounting for 41% of total floor area.</t>
  </si>
  <si>
    <t>GuestRoom_3_Multi19_FloorM</t>
  </si>
  <si>
    <t>GuestRoom_4_Multi19_FloorM</t>
  </si>
  <si>
    <t>GuestRoom_5_FloorM</t>
  </si>
  <si>
    <t>GuestRoom_6_FloorM</t>
  </si>
  <si>
    <t>Corridor_FloorM</t>
  </si>
  <si>
    <t>Corridor Area</t>
  </si>
  <si>
    <t>GuestRoom_1_FloorT</t>
  </si>
  <si>
    <t>GuestRoom_2_FloorT</t>
  </si>
  <si>
    <t>GuestRoom_3_Multi9_FloorT</t>
  </si>
  <si>
    <t>Banquet_FloorT</t>
  </si>
  <si>
    <t>Hotel Function Area</t>
  </si>
  <si>
    <t>Occupancy based on "Restaurant Dining Area"</t>
  </si>
  <si>
    <t>Dining_FloorT</t>
  </si>
  <si>
    <t>Dining Area (Bar/Lounge and Fine Dining)</t>
  </si>
  <si>
    <t>Restaurant</t>
  </si>
  <si>
    <t>Kitchen_FloorT</t>
  </si>
  <si>
    <t>Kitchen/Food Preparation Area</t>
  </si>
  <si>
    <t>Corridor_FloorT</t>
  </si>
  <si>
    <t>Total (195 space/Thermal Zones)</t>
  </si>
  <si>
    <t>Total (13 Space Types)</t>
  </si>
  <si>
    <t xml:space="preserve"> Total (4 Schedule categories)</t>
  </si>
  <si>
    <t xml:space="preserve"> Total (195 Conditioned zones)</t>
  </si>
  <si>
    <r>
      <rPr>
        <b/>
        <sz val="10"/>
        <color theme="1"/>
        <rFont val="Arial"/>
        <family val="2"/>
      </rPr>
      <t>Ref for layout and zoning:</t>
    </r>
    <r>
      <rPr>
        <sz val="10"/>
        <color theme="1"/>
        <rFont val="Arial"/>
        <family val="2"/>
      </rPr>
      <t xml:space="preserve"> PNNL Large Hotel prototypes (ASHRAE 90.1 2022)</t>
    </r>
  </si>
  <si>
    <t>Occupancy Rate</t>
  </si>
  <si>
    <t>% of occupied guest rooms</t>
  </si>
  <si>
    <t>Source</t>
  </si>
  <si>
    <t xml:space="preserve">California Lodging Forecast (April 2025) </t>
  </si>
  <si>
    <t>2025 State of the industry report</t>
  </si>
  <si>
    <t xml:space="preserve">Guest room (ft²) </t>
  </si>
  <si>
    <t>Guest room  % ( all floors except basement)</t>
  </si>
  <si>
    <t>Guest room  % ( all floors)</t>
  </si>
  <si>
    <t>Element</t>
  </si>
  <si>
    <t xml:space="preserve"> Assembly Type</t>
  </si>
  <si>
    <t>Construction</t>
  </si>
  <si>
    <t>Thermal Properties</t>
  </si>
  <si>
    <t>Vintage</t>
  </si>
  <si>
    <t>Selected T24</t>
  </si>
  <si>
    <t>CZ1</t>
  </si>
  <si>
    <t>CZ2</t>
  </si>
  <si>
    <t>CZ3</t>
  </si>
  <si>
    <t>CZ4</t>
  </si>
  <si>
    <t>CZ5</t>
  </si>
  <si>
    <t>CZ6</t>
  </si>
  <si>
    <t>CZ7</t>
  </si>
  <si>
    <t>CZ8</t>
  </si>
  <si>
    <t>CZ9</t>
  </si>
  <si>
    <t>CZ10</t>
  </si>
  <si>
    <t>CZ11</t>
  </si>
  <si>
    <t>CZ12</t>
  </si>
  <si>
    <t>CZ13</t>
  </si>
  <si>
    <t>CZ14</t>
  </si>
  <si>
    <t>CZ15</t>
  </si>
  <si>
    <t>CZ16</t>
  </si>
  <si>
    <t>External Wall_ Guest Room (FloorM and FloorT)</t>
  </si>
  <si>
    <t>ExtWall_MetalFramed_GuestRooms</t>
  </si>
  <si>
    <t>Stucco + Metal frame + insulation + Gypsum board</t>
  </si>
  <si>
    <t>U-factor IP</t>
  </si>
  <si>
    <t>Pre 1978</t>
  </si>
  <si>
    <t>N/A</t>
  </si>
  <si>
    <t>ASHRAE 90.1, 2022, Table A3.3.3.1, 3.5", R-0</t>
  </si>
  <si>
    <t>1978-1997</t>
  </si>
  <si>
    <t>Copied from High-rise office alternative requirements (Table 2-53W): Package A with heat capacity between 10-14.99 (Btu/F-ft²)
*T24, 1986, Table 2-53BB presents U-factors less than the next vintage (for wall density of 26-40 lb/ft² &amp; Degree day&lt;3500)!</t>
  </si>
  <si>
    <t>* Heat capacity might be close to 4-9.99 categories for mix of steel frame and MCU (MCU for fist stories and basement) . However, selecting this category will result in U values lower than the next vintage to both REs and Nonres! (for HC below 4 Btu/F-ft², all CZ should be 1/7.4)</t>
  </si>
  <si>
    <t>1998-2007</t>
  </si>
  <si>
    <t>Table 1-I</t>
  </si>
  <si>
    <t>2008-2018</t>
  </si>
  <si>
    <t>Table 140.3-C</t>
  </si>
  <si>
    <t>2019+</t>
  </si>
  <si>
    <t>External Wall_ Nonres (FloorG)</t>
  </si>
  <si>
    <t xml:space="preserve">ExtWall_MassLight_NonRes
</t>
  </si>
  <si>
    <t>Stucco + 8 in Concrete + insulation + Gypsum board</t>
  </si>
  <si>
    <t>Copied from High-rise office alternative requirements (Table 2-53W): Package A with heat capacity around 10 (Btu/F-ft²)</t>
  </si>
  <si>
    <t>Same as above note</t>
  </si>
  <si>
    <t>Table 1-H</t>
  </si>
  <si>
    <t>Table 140.3-B</t>
  </si>
  <si>
    <t>Table 140.3-B (Nonres)</t>
  </si>
  <si>
    <t>Roof_Guest Room (FloorT)</t>
  </si>
  <si>
    <t>FlatRoof_WoodFramedAndOther_GuestRooms</t>
  </si>
  <si>
    <t xml:space="preserve">Roof membrane + insulation + Metal Deck </t>
  </si>
  <si>
    <t>Considering 30 years for roof/ insulation replacement. ( Guest room requirement)</t>
  </si>
  <si>
    <t>Table 1-I (the lowest U-factor between Nonres and Guest room was considered)</t>
  </si>
  <si>
    <t>Table 140.3-C (the lowest U-factor between Nonres and Guest room was considered)</t>
  </si>
  <si>
    <t>Roof_Nonres (FloorG)</t>
  </si>
  <si>
    <t>FlatRoof_WoodFramedAndOther_NonRes</t>
  </si>
  <si>
    <t xml:space="preserve">Table 140.3-B </t>
  </si>
  <si>
    <t>Windows_ Guest Room (FloorM and FloorT)</t>
  </si>
  <si>
    <t>FixedWindow_GuestRoom</t>
  </si>
  <si>
    <t xml:space="preserve">CBECS 2018 shows that ~43% of Large Hotels that were built before 2000 are single pane </t>
  </si>
  <si>
    <t>ASHRAE Handbook of Fundamentals for single pane &amp; T24, 2013  for double pane (43%-57%)</t>
  </si>
  <si>
    <t>Double pane</t>
  </si>
  <si>
    <t xml:space="preserve"> Table 1-I</t>
  </si>
  <si>
    <t xml:space="preserve">Table 140.3-C  </t>
  </si>
  <si>
    <t>SHGC</t>
  </si>
  <si>
    <t xml:space="preserve"> TABLE 1-I (based on non north with WWR 30-40%)</t>
  </si>
  <si>
    <t xml:space="preserve">Table 140.3-C </t>
  </si>
  <si>
    <t>Windows_ Nonres (FloorG)</t>
  </si>
  <si>
    <t>FixedWindow_NonRes</t>
  </si>
  <si>
    <t>Table1-H</t>
  </si>
  <si>
    <t>Table 1-H (based on non north with WWR 30-40% )</t>
  </si>
  <si>
    <t>Table 140.3-B  (100% fixed, 0% operable)</t>
  </si>
  <si>
    <t>Infiltration</t>
  </si>
  <si>
    <t>I_75 (cfm/ft²)
6-sided Infiltration rate @ 75 pa</t>
  </si>
  <si>
    <t xml:space="preserve"> I-design (cfm/ft²)
(4-sided Infiltration rate at normal pressure) 
(Design flow rate approach and Flow/Exterior Wall Area calculation method) </t>
  </si>
  <si>
    <t>2022 CASE report (Table 38)</t>
  </si>
  <si>
    <t>1*</t>
  </si>
  <si>
    <t>2022 CASE report (Table 38) &amp;
T24, 2008-2016 (Table 140.3-C)</t>
  </si>
  <si>
    <t>0.6**</t>
  </si>
  <si>
    <t>2022 CASE report (Table 38) &amp;  T24,140.3(a)9Cii &amp; T24, 2025 (Table 140.3-C)</t>
  </si>
  <si>
    <t>0.1422*</t>
  </si>
  <si>
    <t>* An air barrier was not required for guest rooms under T24, until the 2019 edition. However, to reflect typical construction practices, we assumed that all exterior walls are equipped with an air barrier where it was required for nonresidential walls.</t>
  </si>
  <si>
    <t>*** T24  require 0.4 cfm/ft² for tested condition but it also in section 140.3(a)9Cii says that if the air leakage requirements are not met, a visual inspection and diagnostic evaluation shall be completed , all observed leaks shall be sealed where such sealing can be made without destruction of existing building components, and buildings where the tested leakage rate exceeded 0.6 cfm/ft² of building shell area at 75 Pa have been retested to confirm leakage is below 0.6 cfm/ft² of building shell at 75 Pa.
Although T24,2025 does not require guest rooms in Climate Zone 7 to have an air barrier, we assumed that all CZs are equipped with one. According to Dodge 2023 CAS data CZ 7 accounts for ~ 6% of hotel floor area in CA. Therefore, we have decided to ignore the exemption for CZ7 and treated all CZs as having an air barrier for consistency and ease of simulation.</t>
  </si>
  <si>
    <t>ACM 2025, 5.4.2: For Standard Design, I-design shall be 0.2352 cfm/ft². .Hotel/Motel Buildings in climate zone 7 and for relocatable public school buildings I-design shall be 0.3696 cfm/ft²</t>
  </si>
  <si>
    <t>Background Data [To be hidden prior to publication]</t>
  </si>
  <si>
    <t xml:space="preserve">Percentage of operable to fix windows </t>
  </si>
  <si>
    <t>Backup information for future modification:</t>
  </si>
  <si>
    <t>Roof_ Nonres</t>
  </si>
  <si>
    <t>Roofs and Ceilings_ Wood Framed and Other</t>
  </si>
  <si>
    <t>Metal-Deck roof + insulation + Roof membrane</t>
  </si>
  <si>
    <t>U factor</t>
  </si>
  <si>
    <t>Considering 30 years for roof/ insulation replacement.</t>
  </si>
  <si>
    <t>* We can adapt PNNL approach for Large Hotel: Fixed windows 92.05% Operable Windows 7.95%</t>
  </si>
  <si>
    <t>*  In construction, contractors often avoid complexity by using the same window specs throughout. So, even if 8% of the windows are operable, we can apply the more stringent requirement (U values of fixed window and SHGC of operable) to align with their approach on minimizing complexity in material procurement and installation management.</t>
  </si>
  <si>
    <t>Windows_ Guest Room</t>
  </si>
  <si>
    <t xml:space="preserve">Fixed Windows </t>
  </si>
  <si>
    <t>TABLE 1-I  (50% north with WWR 20-30% + 50% non north with WWR 30-40% )</t>
  </si>
  <si>
    <t>Windows_ Nonres</t>
  </si>
  <si>
    <t xml:space="preserve">Operable Windows </t>
  </si>
  <si>
    <t xml:space="preserve"> TABLE 1-I (50% north with WWR 20-30% + 50% non north with WWR 30-40%) </t>
  </si>
  <si>
    <t>TABLE 1-H (50% north with WWR 20-30% + 50% non north with WWR 30-40% )</t>
  </si>
  <si>
    <t>High-rise/Hotel</t>
  </si>
  <si>
    <t>Windows</t>
  </si>
  <si>
    <t>North</t>
  </si>
  <si>
    <t>20-30% WWR</t>
  </si>
  <si>
    <t>RSHGC</t>
  </si>
  <si>
    <t>TABLE 1-I</t>
  </si>
  <si>
    <t>Non_x0002_North</t>
  </si>
  <si>
    <t>30-40% WWR</t>
  </si>
  <si>
    <t>Nonres</t>
  </si>
  <si>
    <t>TABLE 1-H</t>
  </si>
  <si>
    <t xml:space="preserve">Guest room </t>
  </si>
  <si>
    <t>45% of north+10% of east and west + 45% of west</t>
  </si>
  <si>
    <t>ASHRAE Fundamental 2021 assumptions for single pane windows:</t>
  </si>
  <si>
    <t>U values Btu/h· ft²· °F</t>
  </si>
  <si>
    <t>fixed</t>
  </si>
  <si>
    <t>ASHRAE Fundamental 2021,15.9 , Table 4</t>
  </si>
  <si>
    <t>operable</t>
  </si>
  <si>
    <t>ASHRAE Fundamental 2021,15.22 , Table 10 (CLR 1/8 in, Aluminum)</t>
  </si>
  <si>
    <t>Spaces</t>
  </si>
  <si>
    <t xml:space="preserve">Heating </t>
  </si>
  <si>
    <t>Cooling</t>
  </si>
  <si>
    <t>Air Distribution</t>
  </si>
  <si>
    <t>Other Systems</t>
  </si>
  <si>
    <t xml:space="preserve">Existing  </t>
  </si>
  <si>
    <t>Common spaces</t>
  </si>
  <si>
    <t>Gas Boiler</t>
  </si>
  <si>
    <t>Air-cooled Chiller</t>
  </si>
  <si>
    <t>VAV + Hydronic reheat</t>
  </si>
  <si>
    <t>Economizer (only 2008-2018)
No DOAS - OA through main VAV air handler</t>
  </si>
  <si>
    <t>CEUS 2022
(Other system based on T24 and Engineering judgement)</t>
  </si>
  <si>
    <t xml:space="preserve">Chiller is air cooled if the chiller capacity if below 300 ton as T24, 2025, section 170.2(c)4H (Page  563) banned having more than 300 ton of cooling provide by air cooled chiller. </t>
  </si>
  <si>
    <t>Guest rooms</t>
  </si>
  <si>
    <t>FPFC (single speed fan)</t>
  </si>
  <si>
    <t>Exhaust-Only Ventilation</t>
  </si>
  <si>
    <t>CEUS 2022
(Other system based on Engineering judgement)</t>
  </si>
  <si>
    <t>New Construction</t>
  </si>
  <si>
    <t>Economizer
No DOAS - OA through main VAV air handler</t>
  </si>
  <si>
    <t>ACM 2025, Table 2 and 3 
(Other system based on Engineering judgement)</t>
  </si>
  <si>
    <t>FPFC (multi speed fan)</t>
  </si>
  <si>
    <t>DOAS</t>
  </si>
  <si>
    <t xml:space="preserve"> Engineering judgement with considering CEUS data </t>
  </si>
  <si>
    <r>
      <t xml:space="preserve">Efficiency of HVAC System
</t>
    </r>
    <r>
      <rPr>
        <sz val="10"/>
        <color theme="0"/>
        <rFont val="Arial"/>
        <family val="2"/>
      </rPr>
      <t xml:space="preserve"> (Efficiency is capacity-dependent. The following table provides a general estimate of system efficiency based on what we saw in the existing prototype runs, or assuming cooling load based on rule of thumb)</t>
    </r>
  </si>
  <si>
    <t>Upgrade/Installed year</t>
  </si>
  <si>
    <t>Air Cooled Chiller</t>
  </si>
  <si>
    <r>
      <t>Thermal Efficiency of 80% E</t>
    </r>
    <r>
      <rPr>
        <vertAlign val="subscript"/>
        <sz val="10"/>
        <color theme="1"/>
        <rFont val="Arial"/>
        <family val="2"/>
      </rPr>
      <t>t</t>
    </r>
  </si>
  <si>
    <t>EER=9.56  (COP=2.8)</t>
  </si>
  <si>
    <t xml:space="preserve">T24, 2008 Table 112-D (for chiller COP of 2.8 , then converted to EER of 9.56) - T24, 2013 Table 110.2-K (for boiler efficiency with capacity between 300,000-2,500,000 Btu/hr). T24 2008 doesn't has requirement for Et
</t>
  </si>
  <si>
    <t xml:space="preserve">EER=9.56 </t>
  </si>
  <si>
    <t>T24, 2013 Table 110.2-D ( for air cooled chiller) 
T24, 2013 Table 110.2-K (for boiler efficiency with capacity between 300,000-2,500,000 Btu/hr)</t>
  </si>
  <si>
    <r>
      <t>CZ: 7, 8, 15: Thermal Efficiency of 80% E</t>
    </r>
    <r>
      <rPr>
        <vertAlign val="subscript"/>
        <sz val="10"/>
        <color theme="1"/>
        <rFont val="Arial"/>
        <family val="2"/>
      </rPr>
      <t xml:space="preserve">t </t>
    </r>
    <r>
      <rPr>
        <sz val="10"/>
        <color theme="1"/>
        <rFont val="Arial"/>
        <family val="2"/>
      </rPr>
      <t>; 
All other CZ: Thermal Efficiency of 90% E</t>
    </r>
    <r>
      <rPr>
        <vertAlign val="subscript"/>
        <sz val="10"/>
        <color theme="1"/>
        <rFont val="Arial"/>
        <family val="2"/>
      </rPr>
      <t xml:space="preserve">t  </t>
    </r>
    <r>
      <rPr>
        <sz val="10"/>
        <color theme="1"/>
        <rFont val="Arial"/>
        <family val="2"/>
      </rPr>
      <t>and return water temp of 120F</t>
    </r>
  </si>
  <si>
    <t xml:space="preserve">EER=9.7 </t>
  </si>
  <si>
    <t>T24, 2025 Table 110.2-D (path B) (for chiller) 
ACM, 2025, section (5.8.1) for number of boiler (2 boilers), and section (5.8.1) and 10CFR § 431.87 (for boiler efficiency in CZ 7, 8, 15) and Title 24, 2025 section 140.4(k)8 (for boiler efficiency in other CZs). 
The boiler capacity is assumed to be over 1 MMBtu based on engineering judgment, considering that the PNNL prototype in San Diego (CZ7, a mild climate) lists a boiler capacity of 0.85 MMBtu. Therefore, it is reasonable to expect a larger capacity—above 1 MMBtu—for CZ12, which has colder winters.</t>
  </si>
  <si>
    <t>According to T24, 2025 140.4(k)8 and ACM 2025, "Gas-fired boilers in climate zones 1 through 6, 9 through 14 and 16 with rated capacity above 1 MMBtu/h and  less than 10 MMBtu/h have a standard design efficiency of 90 percent"
For other climate zones, the efficiency of gas fired boiler is 80% following Federal regulation 10CFR § 431.87
*Note: efficiency of gas fired boiler was 84% in T24, 2022, Table 110.2-J for capacity between 300,000-2,500,000 Btu/hr for all CZs.
The efficiency will be adjusted based on the results of a sizing simulation run, that shows us what the peak heating capacity requirements are.</t>
  </si>
  <si>
    <t>COP (2013)=</t>
  </si>
  <si>
    <t>COP (2025)=</t>
  </si>
  <si>
    <t>Fan power</t>
  </si>
  <si>
    <t>Approach</t>
  </si>
  <si>
    <t>System</t>
  </si>
  <si>
    <t>Total Static Pressure (TSP)
(in w.c.)
[PNNL 20405, 2010, Table 5.11]</t>
  </si>
  <si>
    <t>Fan Efficiency
[ACM 2025]</t>
  </si>
  <si>
    <t>Fan Motor and Drive Efficiency 
[ACM 2025, Table 13]</t>
  </si>
  <si>
    <t>W/cfm
[ACM 2025, Table 14 and 15]</t>
  </si>
  <si>
    <t>Data Source</t>
  </si>
  <si>
    <t>Existing</t>
  </si>
  <si>
    <t>PNNL TSP</t>
  </si>
  <si>
    <t>VAV System &gt;10,000 cfm</t>
  </si>
  <si>
    <t>~0.9 (The full-load efficiency of the motor serving the fan- will be determined based on ACM 2025, Table 13)</t>
  </si>
  <si>
    <t xml:space="preserve"> ACM 2025, PNNL 2010 TSD</t>
  </si>
  <si>
    <t>FPFC (on/off)</t>
  </si>
  <si>
    <t>Brake horse power (bhp)=(Supply cfm*TSP in w.c.)/(6356*Fan efficiency)</t>
  </si>
  <si>
    <t>Fan power (w/cfm) = bhp/motor and drive efficiency *746</t>
  </si>
  <si>
    <t>ACM 2025</t>
  </si>
  <si>
    <t>0.947 w/cfm VAV system&gt; 10,000 cfm  (ACM 2025, Table 15 )</t>
  </si>
  <si>
    <t>0.35 w/cfm for indoor unit fan (T24, 2025, Section 140.4(a)3 D)</t>
  </si>
  <si>
    <t>DOAS Supply fan</t>
  </si>
  <si>
    <t xml:space="preserve">cfm of DOAS system is already calculated in the Ventilation sheet. Total cfm is more than 10,000 when 10% oversizing factor is applied. </t>
  </si>
  <si>
    <t>DOAS Exhaust fan</t>
  </si>
  <si>
    <t>Total cfm of DOAS</t>
  </si>
  <si>
    <t>* 0.9 is an average fan efficiency according to ACM 2025, Table 13</t>
  </si>
  <si>
    <t>Fan total eff (E+ input) = 0.65 x Motor_eff</t>
  </si>
  <si>
    <t>TSP (E+ input) in w.c. = Motor_eff/746 x (6356 x Fan_eff) x W/cfm</t>
  </si>
  <si>
    <t>Fan_eff=0.65</t>
  </si>
  <si>
    <t>Why Heating is 0 in PNNL for basement?</t>
  </si>
  <si>
    <t>VRF? it's increasing but is not that common to consider as primary in prototype</t>
  </si>
  <si>
    <t>By considering 4PFC for guest rooms, we exceed CEUS % for Fan Coil (33%)</t>
  </si>
  <si>
    <t>Guest room area in our model (considering basement in the total floor area)</t>
  </si>
  <si>
    <t xml:space="preserve">CEUS % for Fan coil system </t>
  </si>
  <si>
    <t>ACM 2025:</t>
  </si>
  <si>
    <t xml:space="preserve">ACM 2025: All fans with a motor nameplate horsepower greater than 1.00 hp or with an electrical input power greater than 0.89 kW need a FAN ENERGY INDEX (FEI) </t>
  </si>
  <si>
    <t xml:space="preserve">CEUS 2022 : </t>
  </si>
  <si>
    <t>Water Heater</t>
  </si>
  <si>
    <t>Floorspace Heated</t>
  </si>
  <si>
    <t>Primary Heating
The default is the floorspace method unless otherwise specified</t>
  </si>
  <si>
    <t>Fuel Type</t>
  </si>
  <si>
    <t>Floorspace Cooled</t>
  </si>
  <si>
    <t>Primary Cooling
The default is the floorspace method unless otherwise specified</t>
  </si>
  <si>
    <t xml:space="preserve">Primary Air Dis 
The default is the floorspace method unless otherwise specified </t>
  </si>
  <si>
    <t>Lodging</t>
  </si>
  <si>
    <r>
      <rPr>
        <b/>
        <sz val="9"/>
        <color theme="1"/>
        <rFont val="Calibri"/>
        <family val="2"/>
        <scheme val="minor"/>
      </rPr>
      <t>Floorspace method:</t>
    </r>
    <r>
      <rPr>
        <sz val="9"/>
        <color theme="1"/>
        <rFont val="Calibri"/>
        <family val="2"/>
        <scheme val="minor"/>
      </rPr>
      <t xml:space="preserve">
Package System / Heat Pump (37.5%)
</t>
    </r>
    <r>
      <rPr>
        <sz val="9"/>
        <color rgb="FF8238BA"/>
        <rFont val="Calibri"/>
        <family val="2"/>
        <scheme val="minor"/>
      </rPr>
      <t xml:space="preserve">Boiler/ Hydronic (30.5%) </t>
    </r>
    <r>
      <rPr>
        <sz val="9"/>
        <color theme="1"/>
        <rFont val="Calibri"/>
        <family val="2"/>
        <scheme val="minor"/>
      </rPr>
      <t xml:space="preserve">
</t>
    </r>
    <r>
      <rPr>
        <b/>
        <sz val="9"/>
        <color theme="1"/>
        <rFont val="Calibri"/>
        <family val="2"/>
        <scheme val="minor"/>
      </rPr>
      <t xml:space="preserve">Site method:
</t>
    </r>
    <r>
      <rPr>
        <sz val="9"/>
        <color theme="1"/>
        <rFont val="Calibri"/>
        <family val="2"/>
        <scheme val="minor"/>
      </rPr>
      <t xml:space="preserve">Package System / Heat Pump (53.3%)
Boiler/ Hydronic (8.8%) </t>
    </r>
  </si>
  <si>
    <r>
      <rPr>
        <b/>
        <sz val="9"/>
        <color theme="1"/>
        <rFont val="Calibri"/>
        <family val="2"/>
        <scheme val="minor"/>
      </rPr>
      <t>Floorspace method:</t>
    </r>
    <r>
      <rPr>
        <sz val="9"/>
        <color theme="1"/>
        <rFont val="Calibri"/>
        <family val="2"/>
        <scheme val="minor"/>
      </rPr>
      <t xml:space="preserve">
</t>
    </r>
    <r>
      <rPr>
        <sz val="9"/>
        <color rgb="FF7030A0"/>
        <rFont val="Calibri"/>
        <family val="2"/>
        <scheme val="minor"/>
      </rPr>
      <t>Gas (56.6%)</t>
    </r>
    <r>
      <rPr>
        <sz val="9"/>
        <color theme="1"/>
        <rFont val="Calibri"/>
        <family val="2"/>
        <scheme val="minor"/>
      </rPr>
      <t xml:space="preserve">
Elec (40.2%)
</t>
    </r>
    <r>
      <rPr>
        <b/>
        <sz val="9"/>
        <color theme="1"/>
        <rFont val="Calibri"/>
        <family val="2"/>
        <scheme val="minor"/>
      </rPr>
      <t>Site method:</t>
    </r>
    <r>
      <rPr>
        <sz val="9"/>
        <color theme="1"/>
        <rFont val="Calibri"/>
        <family val="2"/>
        <scheme val="minor"/>
      </rPr>
      <t xml:space="preserve">
Gas (33.9%)
Elec (63.4%)</t>
    </r>
  </si>
  <si>
    <r>
      <rPr>
        <b/>
        <sz val="9"/>
        <color theme="1"/>
        <rFont val="Calibri"/>
        <family val="2"/>
        <scheme val="minor"/>
      </rPr>
      <t>Floorspace method:</t>
    </r>
    <r>
      <rPr>
        <sz val="9"/>
        <color theme="1"/>
        <rFont val="Calibri"/>
        <family val="2"/>
        <scheme val="minor"/>
      </rPr>
      <t xml:space="preserve">
Package System / Heat Pump (37.4%)
</t>
    </r>
    <r>
      <rPr>
        <sz val="9"/>
        <color rgb="FF8238BA"/>
        <rFont val="Calibri"/>
        <family val="2"/>
        <scheme val="minor"/>
      </rPr>
      <t xml:space="preserve">Central Plant (Chiller) (29.8%) </t>
    </r>
    <r>
      <rPr>
        <sz val="9"/>
        <color theme="1"/>
        <rFont val="Calibri"/>
        <family val="2"/>
        <scheme val="minor"/>
      </rPr>
      <t xml:space="preserve">
</t>
    </r>
    <r>
      <rPr>
        <b/>
        <sz val="9"/>
        <color theme="1"/>
        <rFont val="Calibri"/>
        <family val="2"/>
        <scheme val="minor"/>
      </rPr>
      <t xml:space="preserve">Site method: </t>
    </r>
    <r>
      <rPr>
        <sz val="9"/>
        <color theme="1"/>
        <rFont val="Calibri"/>
        <family val="2"/>
        <scheme val="minor"/>
      </rPr>
      <t xml:space="preserve">
Package System / Heat Pump (53.2%)
Central Plant (Chiller) (6.8%) </t>
    </r>
  </si>
  <si>
    <r>
      <rPr>
        <b/>
        <sz val="9"/>
        <color theme="1"/>
        <rFont val="Calibri"/>
        <family val="2"/>
        <scheme val="minor"/>
      </rPr>
      <t>Floorspace method:</t>
    </r>
    <r>
      <rPr>
        <sz val="9"/>
        <color theme="1"/>
        <rFont val="Calibri"/>
        <family val="2"/>
        <scheme val="minor"/>
      </rPr>
      <t xml:space="preserve">
</t>
    </r>
    <r>
      <rPr>
        <sz val="9"/>
        <color rgb="FF8238BA"/>
        <rFont val="Calibri"/>
        <family val="2"/>
        <scheme val="minor"/>
      </rPr>
      <t>Single Duct CAV (53.9%)</t>
    </r>
    <r>
      <rPr>
        <sz val="9"/>
        <color theme="1"/>
        <rFont val="Calibri"/>
        <family val="2"/>
        <scheme val="minor"/>
      </rPr>
      <t xml:space="preserve">
</t>
    </r>
    <r>
      <rPr>
        <sz val="9"/>
        <color rgb="FF7030A0"/>
        <rFont val="Calibri"/>
        <family val="2"/>
        <scheme val="minor"/>
      </rPr>
      <t>Fan Coil Unit/Ventilator (33.2%)
VAV system (single and Dual duct)  (8.99%)</t>
    </r>
    <r>
      <rPr>
        <sz val="9"/>
        <color theme="1"/>
        <rFont val="Calibri"/>
        <family val="2"/>
        <scheme val="minor"/>
      </rPr>
      <t xml:space="preserve">
</t>
    </r>
    <r>
      <rPr>
        <b/>
        <sz val="9"/>
        <color theme="1"/>
        <rFont val="Calibri"/>
        <family val="2"/>
        <scheme val="minor"/>
      </rPr>
      <t xml:space="preserve">Site method: </t>
    </r>
    <r>
      <rPr>
        <sz val="9"/>
        <color theme="1"/>
        <rFont val="Calibri"/>
        <family val="2"/>
        <scheme val="minor"/>
      </rPr>
      <t xml:space="preserve">
Single Duct CAV (65.6%)
Fan Coil Unit/Ventilator (31.2%)
VAV system (single and Dual duct)  (2.28%)</t>
    </r>
  </si>
  <si>
    <r>
      <rPr>
        <sz val="9"/>
        <color rgb="FF7030A0"/>
        <rFont val="Calibri"/>
        <family val="2"/>
        <scheme val="minor"/>
      </rPr>
      <t>Gas (84%)</t>
    </r>
    <r>
      <rPr>
        <sz val="9"/>
        <color theme="1"/>
        <rFont val="Calibri"/>
        <family val="2"/>
        <scheme val="minor"/>
      </rPr>
      <t xml:space="preserve">
Elec ( 3.31%)</t>
    </r>
  </si>
  <si>
    <t>Efficiency:</t>
  </si>
  <si>
    <t>T24 2025, 140.4(k)8</t>
  </si>
  <si>
    <t>10CFR, Chapter II, Subchapter D, Part 431, Subpart E, Section 431.87</t>
  </si>
  <si>
    <t>T24 2022, Table 110-2-J</t>
  </si>
  <si>
    <t>Fan Power:</t>
  </si>
  <si>
    <t>BHP = Pressure * flow rate  /efficiency</t>
  </si>
  <si>
    <t>ACM 2025, Table 14 , 15</t>
  </si>
  <si>
    <t>6356 is for unit conversion:</t>
  </si>
  <si>
    <t>1 HP = 550 ft-lbf/Sec</t>
  </si>
  <si>
    <t>1 ft² = 144 in2</t>
  </si>
  <si>
    <t>12 in=1 ft</t>
  </si>
  <si>
    <t>1 in w.c. = 5.202 ft-lbf/ft3</t>
  </si>
  <si>
    <t>g=32.174 ft/sec2</t>
  </si>
  <si>
    <t xml:space="preserve"> ρ =​ 62.4 lb/ft3</t>
  </si>
  <si>
    <t>ft²=144 in2</t>
  </si>
  <si>
    <t>1 lbf = 1 pound of mass*g</t>
  </si>
  <si>
    <t>Pressure rise per inch of water =  ρ*g*h= 62.4 (lb/ft3)*g*(inch of water/12) (ft)*g=5.2 (lb*g/ft²)=5.2 (lbf/ft²)</t>
  </si>
  <si>
    <t>1 kw = (1/0.746) HP</t>
  </si>
  <si>
    <t>motor efficiency (heat/friction)</t>
  </si>
  <si>
    <t>drive efficiency ( belts,gears,variable frequency drive,…)</t>
  </si>
  <si>
    <t>BHP (HP)= Pressure rise in w.c. * 5.2 (lbf/ft²)*Flow rate/60 (ft3/s)/550(ft-lbf/s-HP)</t>
  </si>
  <si>
    <r>
      <t>Break horsepower (HP)= cfm*pressure rise in w.c. /(</t>
    </r>
    <r>
      <rPr>
        <sz val="10"/>
        <color rgb="FF8238BA"/>
        <rFont val="Calibri"/>
        <family val="2"/>
        <scheme val="minor"/>
      </rPr>
      <t>6356</t>
    </r>
    <r>
      <rPr>
        <sz val="10"/>
        <color theme="1"/>
        <rFont val="Calibri"/>
        <family val="2"/>
        <scheme val="minor"/>
      </rPr>
      <t>*fan efficiency)</t>
    </r>
  </si>
  <si>
    <t>Electrical power input to the motor=Brake HP/(motor efficiency*drive efficiency)</t>
  </si>
  <si>
    <t>T24, 2025, Table 140.4-D</t>
  </si>
  <si>
    <t>PNNL/ASHRAE</t>
  </si>
  <si>
    <t>Achieving the 20% Goal: Energy and Cost Saving Analysis of ASHRAE Standard 90.1-2010</t>
  </si>
  <si>
    <t>ANSI/ASHRAE/IES Standard 90.1-2010 Performance Rating Method Reference Manual (PNNL, 2016)</t>
  </si>
  <si>
    <t>ANSI/ASHRAE/IES Standard 90.1-2016 Performance Rating Method Reference Manual (PNNL, 2017)</t>
  </si>
  <si>
    <t>ASHRAE Standard 90.1-2010 Equipment Final Rule Technical Support Document Chapter 4, Energy Use Characterization</t>
  </si>
  <si>
    <t>PNLL-20405.pdf</t>
  </si>
  <si>
    <t>PNNL-25130.pdf</t>
  </si>
  <si>
    <t>PNNL-26917.pdf</t>
  </si>
  <si>
    <t>Section 4.2.1.3</t>
  </si>
  <si>
    <t>Setpoint</t>
  </si>
  <si>
    <t>Assembly, Office, Basement, Retail, Dining and Café Heating Setpoint (F)</t>
  </si>
  <si>
    <t>T24 2022 - Appendix 5.4B -  “Assembly” tab , "Retail" tab, "Restaurant" Tab
* Basement was considered similar to Office area</t>
  </si>
  <si>
    <t>Assembly, Office, Basement, Retail, Dining and Café Heating Setback (F)</t>
  </si>
  <si>
    <t>Assembly, Office, Basement, Retail, Dining and Café Cooling Setpoint (F)</t>
  </si>
  <si>
    <t>Assembly, Office, Basement, Retail, Dining and Café Cooling Setback (F)</t>
  </si>
  <si>
    <t>ResidentialCommon Heating Setpoint (F)</t>
  </si>
  <si>
    <t>T24 2022 - Appendix 5.4B - 
“ResidentialCommon” tab</t>
  </si>
  <si>
    <t>ResidentialCommon Heating Setback (F)</t>
  </si>
  <si>
    <t>ResidentialCommon Cooling Setpoint (F)</t>
  </si>
  <si>
    <r>
      <t>ResidentialCommon</t>
    </r>
    <r>
      <rPr>
        <b/>
        <sz val="10"/>
        <color theme="1"/>
        <rFont val="Arial"/>
        <family val="2"/>
      </rPr>
      <t xml:space="preserve"> </t>
    </r>
    <r>
      <rPr>
        <sz val="10"/>
        <color theme="1"/>
        <rFont val="Arial"/>
        <family val="2"/>
      </rPr>
      <t>Cooling Setback (F)</t>
    </r>
  </si>
  <si>
    <t>ResidentialLiving Heating Setpoint (F)*</t>
  </si>
  <si>
    <t>ResidentialLiving Heating Setback (F)*</t>
  </si>
  <si>
    <t>ResidentialLiving Cooling Setpoint (F)*</t>
  </si>
  <si>
    <t>Honeywell-INNCOM e7 Thermostat User Guide</t>
  </si>
  <si>
    <t>ResidentialLiving Cooling Setback (F)*</t>
  </si>
  <si>
    <t>&amp; Engineering Judgment</t>
  </si>
  <si>
    <t>Kitchen Heating Setpoint (F)</t>
  </si>
  <si>
    <t>PNNL 09.1, 2022 Restaurant prototype  (Same as Kitchen area in Restaurant scorecards)</t>
  </si>
  <si>
    <t>Kitchen Heating Setback (F)</t>
  </si>
  <si>
    <t>Kitchen Cooling Setpoint (F)</t>
  </si>
  <si>
    <t>Kitchen Cooling Setback (F)</t>
  </si>
  <si>
    <t>* 72°F is the default setting for one of the most prominent thermostat (INNCOM) in California hotels. We have chosen to set the heating setpoint close to this value, allowing only a 2°F variance, with no setback applied. Our understanding is that guests rarely change the setpoint when leaving their rooms, as they expect the room to remain conditioned upon their return.</t>
  </si>
  <si>
    <t>* Another option for the guest rooms would be: set  heating and cooling setpoint at 72 F,  with +-4F variation for C/H setback. ( based on INNCOM)</t>
  </si>
  <si>
    <t>ICCCOM has 4F setback temperature variance.</t>
  </si>
  <si>
    <t xml:space="preserve">PNNL's comfort range in kitchen is 4 F wider than CEC. CEC uses 70-75 F with setbacks of 60 F and 86 F but PNNL uses 66 -79 F (with setback of 60 F and 86 F)							</t>
  </si>
  <si>
    <t>Existing prototypes:</t>
  </si>
  <si>
    <r>
      <rPr>
        <sz val="11"/>
        <color rgb="FFFF0000"/>
        <rFont val="Calibri"/>
        <family val="2"/>
        <scheme val="minor"/>
      </rPr>
      <t xml:space="preserve">DEER has 60F for 0-6 am! </t>
    </r>
    <r>
      <rPr>
        <sz val="11"/>
        <color rgb="FF000000"/>
        <rFont val="Calibri"/>
        <family val="2"/>
        <scheme val="minor"/>
      </rPr>
      <t>It's the time that guest room is supposed to be occupied.</t>
    </r>
  </si>
  <si>
    <t>PNNL has 70F for both cooling and heating setpoint with +-4 setback.</t>
  </si>
  <si>
    <t xml:space="preserve">DEER </t>
  </si>
  <si>
    <t xml:space="preserve">PNNL </t>
  </si>
  <si>
    <t xml:space="preserve">Why DEER had 85 for cooling from 0-5? </t>
  </si>
  <si>
    <t>Heating: 60 F 
Cooling: 85 C</t>
  </si>
  <si>
    <t xml:space="preserve">Heating: 70 F 
Cooling: 75 F
Setback: +-10 </t>
  </si>
  <si>
    <t>Heating: 70 F
Cooling: 70 F
Setback:+-4</t>
  </si>
  <si>
    <t>Heating: 60 F
Cooling: 80 F</t>
  </si>
  <si>
    <t>Heating: 70 F 
Cooling: 75 F</t>
  </si>
  <si>
    <t>All guest room</t>
  </si>
  <si>
    <t>Corridors</t>
  </si>
  <si>
    <t>Lobby, Office, Laundry, Dining, barcasino</t>
  </si>
  <si>
    <t>Occupied guest room</t>
  </si>
  <si>
    <t>Vacant guest room</t>
  </si>
  <si>
    <t>Other space</t>
  </si>
  <si>
    <t>Heating setpoint</t>
  </si>
  <si>
    <t>Weekday</t>
  </si>
  <si>
    <t>0 -6 ----&gt; 60
6-22 ---&gt;68
22-24--&gt;60</t>
  </si>
  <si>
    <t>0 -5 ------&gt; 60
5-24 -----&gt;70</t>
  </si>
  <si>
    <t>0-7-----&gt;60
7-23---&gt;70
23-24---&gt;60</t>
  </si>
  <si>
    <t>0:00-7:50 ------&gt; 70
7:50-9:00-------&gt;66
9:00-10:50 -----&gt;70
10:50-16:10----&gt;66
16:10-17:50 ---&gt;70
17:50-19:00----&gt;66
19:00-24:00----&gt;70</t>
  </si>
  <si>
    <t>0-24 ----&gt; 60</t>
  </si>
  <si>
    <t>0-24 ----&gt; 70</t>
  </si>
  <si>
    <t>Saturday</t>
  </si>
  <si>
    <t>0 -5 ------&gt; 60
5-19------&gt;70
19-24 ---&gt;60</t>
  </si>
  <si>
    <t>Sunday</t>
  </si>
  <si>
    <t>Cooling Setpoint</t>
  </si>
  <si>
    <t>0 -5 -----&gt; 85
5-24 ----&gt;75</t>
  </si>
  <si>
    <t>0-7-----&gt;85
7-23---&gt;75
23-24---&gt;85</t>
  </si>
  <si>
    <t>0:00-7:50 ------&gt; 70
7:50-9:00-------&gt;74
9:00-10:50 -----&gt;70
10:50-16:10----&gt;74
16:10-17:50 ---&gt;70
17:50-19:00----&gt;74
19:00-24:00----&gt;70</t>
  </si>
  <si>
    <t>0-24 ----&gt; 80</t>
  </si>
  <si>
    <t>0-24 ----&gt; 75</t>
  </si>
  <si>
    <t>0 -5 -----&gt; 85
5-19-----&gt;75
19-24 ---&gt;85</t>
  </si>
  <si>
    <t>T24, Appendix JA5-4 : Occupant Controlled Smart Thermostat (OCST)</t>
  </si>
  <si>
    <t>T24, 2025, 120.2 (E)-4</t>
  </si>
  <si>
    <r>
      <t xml:space="preserve">T24, 2025, 120.2 (c).: Guest room occupants cannot adjust the setpoint more than </t>
    </r>
    <r>
      <rPr>
        <b/>
        <sz val="11"/>
        <color theme="1"/>
        <rFont val="Calibri"/>
        <family val="2"/>
        <scheme val="minor"/>
      </rPr>
      <t>±5°F</t>
    </r>
    <r>
      <rPr>
        <sz val="11"/>
        <color theme="1"/>
        <rFont val="Calibri"/>
        <family val="2"/>
        <scheme val="minor"/>
      </rPr>
      <t xml:space="preserve"> (±3°C)</t>
    </r>
  </si>
  <si>
    <t>Space/Thermal Zone</t>
  </si>
  <si>
    <t>Floor Area (ft²)</t>
  </si>
  <si>
    <t>cfm/person
(T24, 2025, Equation 120.1-F and Table 120.1-A)</t>
  </si>
  <si>
    <t>cfm/ft²  
(T24, 2025, Equation 120.1-F and Table 120.1-A)</t>
  </si>
  <si>
    <t>Required Exhaust Rate
 (T24,  2025, Table 120.1-B – Minimum Exhaust Rates)</t>
  </si>
  <si>
    <t>Total cfm 
Driven by People</t>
  </si>
  <si>
    <t>Total cfm 
Driven by Area</t>
  </si>
  <si>
    <t>Total cfm 
Driven by Exhaust</t>
  </si>
  <si>
    <t>Total cfm</t>
  </si>
  <si>
    <t>2*50/70 per unit</t>
  </si>
  <si>
    <t>0.7 cfm/sf</t>
  </si>
  <si>
    <t>Same as kitchen</t>
  </si>
  <si>
    <t>1 cfm/ft² for Soiled laundry storage rooms</t>
  </si>
  <si>
    <t>Only 20% of the laundry space is assumed as "Solied laundry storage room"</t>
  </si>
  <si>
    <t>20/50 cfm per unit</t>
  </si>
  <si>
    <t>0.7 cfm/ft² for kitchen commercial</t>
  </si>
  <si>
    <t>778 cm&lt; hood exhaust cfm . It will be covered under hood cfm</t>
  </si>
  <si>
    <t>Total OA of guest rooms (cfm)</t>
  </si>
  <si>
    <t xml:space="preserve">Type of Hood </t>
  </si>
  <si>
    <t>Max Exhaust Flow Rate (cfm/ft)
[T24, 2025, Table 140.9-C]</t>
  </si>
  <si>
    <t>Hood Length (ft) *</t>
  </si>
  <si>
    <t>Hood Exhaust Rate (cfm)</t>
  </si>
  <si>
    <t>Type I , wall-mounted canopy, medium duty hood</t>
  </si>
  <si>
    <t>Over fryers, griddles, broilers, or any equipment that produces grease and vapor</t>
  </si>
  <si>
    <t xml:space="preserve"> * Assuming a 6 ft long griddle space right next to a 4 ft long fryer space, that would be 6 + 4 + (0.5 ft x 2) or 11 ft long hood required, where the 0.5 ft is the 6 inches extending on either side of the cooking equipment. 1 extra ft has also been added as a buffer.</t>
  </si>
  <si>
    <t>Exhaust hood</t>
  </si>
  <si>
    <t>Efficiency of exhaust fan is 50% (according to ACM, 2025,section 5.7.3)</t>
  </si>
  <si>
    <t>T24, 2025, Table 140.9-C</t>
  </si>
  <si>
    <t>ACM 2025, Section 5.7.3, Exhaust fan efficiency</t>
  </si>
  <si>
    <t>WH Type</t>
  </si>
  <si>
    <t xml:space="preserve"> Efficiency</t>
  </si>
  <si>
    <t>Tank volume (gal)</t>
  </si>
  <si>
    <t>Tank loss</t>
  </si>
  <si>
    <t>Fuel Type based on CEUS</t>
  </si>
  <si>
    <t xml:space="preserve">Gas </t>
  </si>
  <si>
    <t>Peak Hot Water Consumption</t>
  </si>
  <si>
    <t>Space Name</t>
  </si>
  <si>
    <t>Baseline WH Type 
[T24, 2022, Appendix 5.4A , sheet: "2022 SpaceFuncData-Input"]</t>
  </si>
  <si>
    <t>Total Area (ft²)</t>
  </si>
  <si>
    <t>Hot Water Usage Specification
(gal/hr per person)  
[T24, 2022, Appendix 5.4A , sheet: "2022 SpaceFuncData-Input"]</t>
  </si>
  <si>
    <t>Peak Hot Water Usage
(gal/hr)</t>
  </si>
  <si>
    <t>Peak Hot Water Usage
(gal/min)</t>
  </si>
  <si>
    <t xml:space="preserve">Water Heater Capacity, Tank Capacity, and Tank Loss </t>
  </si>
  <si>
    <t>Heat Output (Btu/hr)
[ACM, 2025, 5.9.2: Rated capacity section]</t>
  </si>
  <si>
    <t>WH Capacity (Btu/hr)
[ACM, 2025, 5.9.2: Rated capacity section]</t>
  </si>
  <si>
    <t>Required Energy Input (Btu/hr)</t>
  </si>
  <si>
    <t>Storage Volume (gal)</t>
  </si>
  <si>
    <t xml:space="preserve">Standby Loss </t>
  </si>
  <si>
    <t>Off/On Cycle Loss Coefficient to Ambient Temp (Btu/h-F)</t>
  </si>
  <si>
    <t>Gas Storage WH</t>
  </si>
  <si>
    <t>Btu/hr</t>
  </si>
  <si>
    <t>Standby loss equation: Title 20, §1605.1 Table F-4 
WH capacity equation: ACM, 2025, 5.9.2: Rated capacity section)</t>
  </si>
  <si>
    <t xml:space="preserve">Electric resistance WH </t>
  </si>
  <si>
    <t>%/hr</t>
  </si>
  <si>
    <t>Total</t>
  </si>
  <si>
    <t>Design supply temperature (F)</t>
  </si>
  <si>
    <t>Ref: T24 2022 - Appendix 5.4B</t>
  </si>
  <si>
    <t>Required Energy Input (Btu/hr) for Existing</t>
  </si>
  <si>
    <t xml:space="preserve"> (Btu/hr)</t>
  </si>
  <si>
    <t>Cold Water supply temperature (F)</t>
  </si>
  <si>
    <t>Ref: ACM, 2025, 5.9.2: Rated capacity section</t>
  </si>
  <si>
    <t>Standby Loss for Existing</t>
  </si>
  <si>
    <t>WH system factor</t>
  </si>
  <si>
    <t>Reheat multiplier</t>
  </si>
  <si>
    <t>Ref: ACM, 2025, 5.9.2: Storage Volume</t>
  </si>
  <si>
    <t xml:space="preserve">* The 0.40 multiplier is a storage sizing factor used to account for the fact that the water heater doesn't need to store the full peak hour demand—it can reheat water during that time. This factor assumes that the heater will recover part of the hot water used during the peak hour, so only 40% of the peak hour demand needs to be stored at any given moment. </t>
  </si>
  <si>
    <t>Ambient temp</t>
  </si>
  <si>
    <t>Delta T</t>
  </si>
  <si>
    <t>2023 ASHRAE Handbook—HVAC Applications, section 51.20</t>
  </si>
  <si>
    <t>12gal per bath</t>
  </si>
  <si>
    <t xml:space="preserve">New Construction </t>
  </si>
  <si>
    <t>LPD (W/ft²)</t>
  </si>
  <si>
    <t>Additional LPD for Portable Lighting (W/ft²)</t>
  </si>
  <si>
    <t xml:space="preserve">LPD (W/ft²) </t>
  </si>
  <si>
    <t xml:space="preserve">T24, 2025, Table 140.6-C
PNNL ASHRAE 90.1 2022 for Guest Room
(Area category method) </t>
  </si>
  <si>
    <t xml:space="preserve">T24, 2019*, Table 140.6-C 
CBECC 2019 for Guest Room
 (Area category method)
</t>
  </si>
  <si>
    <t>Weighted LPD is used as basement is considered to be a mix of multiple spaces.</t>
  </si>
  <si>
    <t xml:space="preserve">Engineering judgement, same as kitchen lighting </t>
  </si>
  <si>
    <t>Additional Lighting for New construction: General Lighting in the enclosed space of ceiling height &gt; 10’</t>
  </si>
  <si>
    <t xml:space="preserve">LPD of "All other spaces" is considered for storage </t>
  </si>
  <si>
    <t>LPD of "Bar/Lounge and Fine Dining Area"</t>
  </si>
  <si>
    <t xml:space="preserve">The values of 1.27 may be updated to 0.41, to align the LPF of  New Construction </t>
  </si>
  <si>
    <t>Space type: Hotel Function Area</t>
  </si>
  <si>
    <t>*Hotels are expected to update their lighting systems more frequently than offices. Therefore code edition of 2019 was considered as the reference for LPD of the existing prototypes.</t>
  </si>
  <si>
    <t>T24, 2025: 130.1 (b)</t>
  </si>
  <si>
    <t>T24, 2025: 130.1(c)8</t>
  </si>
  <si>
    <t>T24, 2022: 130.1(c)7A</t>
  </si>
  <si>
    <t>Motion Controlled Luminaires (W)</t>
  </si>
  <si>
    <t>Non-motion Controlled Luminaires (W)</t>
  </si>
  <si>
    <t>Total (W)</t>
  </si>
  <si>
    <t>T24, 2022 &amp; 2025
2019 Outdoor Lighting CASE report 
 PNNL 90.1-2010 TSD</t>
  </si>
  <si>
    <t>Exterior Lighting</t>
  </si>
  <si>
    <t>Items (Assume LZ2)</t>
  </si>
  <si>
    <t>Assumptions
[2019 Outdoor Lighting CASE Report &amp; PNNL 90.1-2010 TSD]</t>
  </si>
  <si>
    <t>Unit</t>
  </si>
  <si>
    <t>Lighting Power Allowance 
[T24, 2025, Table 140.7-A &amp; 140.7-B]</t>
  </si>
  <si>
    <t>Exterior Lighting Power (W)</t>
  </si>
  <si>
    <t>IWA (Initial Wage Allowance)</t>
  </si>
  <si>
    <t>(W)</t>
  </si>
  <si>
    <t>Parking area</t>
  </si>
  <si>
    <t xml:space="preserve">400 ft² for every parking space 
1 parking space per 360 ft² of gross building area </t>
  </si>
  <si>
    <t>(ft²)</t>
  </si>
  <si>
    <t>(W/ft²)</t>
  </si>
  <si>
    <t>Building Entrance</t>
  </si>
  <si>
    <t>2 building entrance (1 per 10,000 ft² footprint)</t>
  </si>
  <si>
    <t>(count)</t>
  </si>
  <si>
    <t>(W/ea)</t>
  </si>
  <si>
    <t>Hardscape Ornamental Light</t>
  </si>
  <si>
    <t>0.1 ft² per 1 ft² of gross building area for hardscape ornamental light</t>
  </si>
  <si>
    <t>Building façade</t>
  </si>
  <si>
    <t>0.1 W per ft² of facade area 
Façade Area = Perimeter × 0.5 × 30 ft (30 ft is the max height that is lit) * 
The 0.5 factor assumes that only half of the perimeter walls are lit.
-Formula ia developed based on the 2019 Outdoor Lighting CASE report</t>
  </si>
  <si>
    <t>Non-sales canopy</t>
  </si>
  <si>
    <t>Motion controlled Luminaires</t>
  </si>
  <si>
    <t>Non-motion-controlled Luminaires</t>
  </si>
  <si>
    <t>*Developed based on 2019 Outdoor Lighting CASE Report</t>
  </si>
  <si>
    <t>Perimeter (ft)</t>
  </si>
  <si>
    <t>Floors (above ground)</t>
  </si>
  <si>
    <t xml:space="preserve">Existing Prototypes: </t>
  </si>
  <si>
    <t>Exterior lighting load (W)</t>
  </si>
  <si>
    <t xml:space="preserve">PNNL 90.1 2022, San Diego </t>
  </si>
  <si>
    <t>CPUC 2024</t>
  </si>
  <si>
    <t xml:space="preserve">No </t>
  </si>
  <si>
    <t>T24, part6, 2025, 130.2(c)3</t>
  </si>
  <si>
    <t>Plug load Power Density (W/ft²)</t>
  </si>
  <si>
    <t>ReachIn Refrigerator and ReachInFreezer Power (W) - 24/7</t>
  </si>
  <si>
    <t>Refrigeration Power Density (W/ft²)</t>
  </si>
  <si>
    <t>Gas Power Density (Btu/hr-ft²)</t>
  </si>
  <si>
    <t>T24 2022 - Appendix 5.4A</t>
  </si>
  <si>
    <t>Plug load and schedules project with CEC, 2024</t>
  </si>
  <si>
    <t>Engineering judgement</t>
  </si>
  <si>
    <t>Plug load and schedules project with CEC, 2025</t>
  </si>
  <si>
    <t>ReachIn Refrigerator and ReachInFreezer: [PNNL ASHRAE 90.1 2022 HotelLarge Prototype]
Other inputs: : T24 2022 - Appendix 5.4A</t>
  </si>
  <si>
    <t>Elevator</t>
  </si>
  <si>
    <t xml:space="preserve">No of Elevator </t>
  </si>
  <si>
    <t>Design Load (W)</t>
  </si>
  <si>
    <t>New Construction and Existing</t>
  </si>
  <si>
    <t xml:space="preserve">PNNL ASHRAE 90.1 2019 Large Hotel prototype </t>
  </si>
  <si>
    <t>Assumptions for elevators:</t>
  </si>
  <si>
    <t xml:space="preserve">One elevator for approximately 50,000 ft² in use. </t>
  </si>
  <si>
    <t>https://buildingandinteriors.com/find-the-magic-number-elevators-per-building/</t>
  </si>
  <si>
    <t>For every two floors or two and a half floors, one more elevator was added.</t>
  </si>
  <si>
    <t>An in-use rate of 70% for the floor area was assumed, based on engineering judgment.</t>
  </si>
  <si>
    <t xml:space="preserve">Calculated number of Elevators: </t>
  </si>
  <si>
    <t>Same as PNNL assumptions</t>
  </si>
  <si>
    <t>Calculate Elevator load (kw)based on ACM 2022:</t>
  </si>
  <si>
    <t xml:space="preserve">76 kW is PNNL ASHRE 90.1 2019 elevator load </t>
  </si>
  <si>
    <t>ACM 2022 suggestion for elevator load (kw):</t>
  </si>
  <si>
    <t>Elevator load will be defined as exterior load not equipment load  (Same as PNNL ASHRAE 90.1 Large Hotel prototype).</t>
  </si>
  <si>
    <t>Elevator in PNNL Large Hotel: Exterior Load &amp;  No zones for Stairs/Elevator</t>
  </si>
  <si>
    <t>Elevator in CEC Small Hotel: Equipment load within stairs/elevator zone</t>
  </si>
  <si>
    <t>PNNL also has a fan within Elevator</t>
  </si>
  <si>
    <t>Story</t>
  </si>
  <si>
    <t xml:space="preserve">Area (ft²) </t>
  </si>
  <si>
    <t>No. of elevator</t>
  </si>
  <si>
    <t>Elevator Design Level {W}</t>
  </si>
  <si>
    <t>Elevators fan</t>
  </si>
  <si>
    <t xml:space="preserve">PNNL has refrigeration load </t>
  </si>
  <si>
    <t>PNNL 2010-2019</t>
  </si>
  <si>
    <t>PNNL 2022</t>
  </si>
  <si>
    <t xml:space="preserve">Generator? </t>
  </si>
  <si>
    <t>PNNL doesn't have generator</t>
  </si>
  <si>
    <t>Small Hotel</t>
  </si>
  <si>
    <t>Pumps?</t>
  </si>
  <si>
    <t>PNNL has Pump</t>
  </si>
  <si>
    <t>Zone</t>
  </si>
  <si>
    <t>Schedule</t>
  </si>
  <si>
    <t>Type</t>
  </si>
  <si>
    <t>Hour</t>
  </si>
  <si>
    <t>Service and Back Up prep in Basement</t>
  </si>
  <si>
    <t>Occupancy</t>
  </si>
  <si>
    <t>PNNL 2022 Large Hotel prototype , basement</t>
  </si>
  <si>
    <t>Lights</t>
  </si>
  <si>
    <t>PNNL 2022 Large Hotel prototype , Lights of the Basement zone</t>
  </si>
  <si>
    <t>ElecEquipment</t>
  </si>
  <si>
    <t>HVACAvail</t>
  </si>
  <si>
    <t>PNNL 2022 Large Hotel prototype , Basement</t>
  </si>
  <si>
    <t>ServiceHotWater</t>
  </si>
  <si>
    <t>Engineering judgement
 (Less workers during weekend)
* PNNL doesn't have SHW to basement</t>
  </si>
  <si>
    <t>HtgSetpt</t>
  </si>
  <si>
    <t>ClgSetpt</t>
  </si>
  <si>
    <t>Storage, Mech, Laundry, Banquet</t>
  </si>
  <si>
    <t>T24 2022 - Appendix 5.4B, [Assembly]</t>
  </si>
  <si>
    <t>Mech, Laundry, Banquet</t>
  </si>
  <si>
    <t>GasEquipment</t>
  </si>
  <si>
    <t>ResidentialCommen</t>
  </si>
  <si>
    <t>Corridors and Lobby</t>
  </si>
  <si>
    <t>T24 2022 - Appendix 5.4B, Residentialcommon</t>
  </si>
  <si>
    <t>Guest Rooms</t>
  </si>
  <si>
    <t>T24 2022 - Appendix 5.4B, [ResidentialLiving]</t>
  </si>
  <si>
    <t>Honeywell-INNCOM e7 Thermostat User Guide 
&amp; Engineering Judgement</t>
  </si>
  <si>
    <t>Retails</t>
  </si>
  <si>
    <t>T24 2022 - Appendix 5.4B, [Retail]</t>
  </si>
  <si>
    <t>Dining and Café</t>
  </si>
  <si>
    <t>PNNL,ASHRAE 90.1, 2022 Fast Food Restaurant prototype 
(It has higher occupancy rate during morning compared to T24 2022 - Appendix 5.4B)</t>
  </si>
  <si>
    <r>
      <t xml:space="preserve">T24 2022 - Appendix 5.4B, [Restaurant]
</t>
    </r>
    <r>
      <rPr>
        <sz val="9"/>
        <color rgb="FF00B050"/>
        <rFont val="Arial"/>
        <family val="2"/>
      </rPr>
      <t>Updated based on the equipment schedule from the plug load and schedule project with CEC</t>
    </r>
    <r>
      <rPr>
        <sz val="9"/>
        <color theme="1"/>
        <rFont val="Arial"/>
        <family val="2"/>
      </rPr>
      <t xml:space="preserve">
</t>
    </r>
  </si>
  <si>
    <r>
      <t xml:space="preserve">T24 2022 - Appendix 5.4B , [Restaurant]
</t>
    </r>
    <r>
      <rPr>
        <sz val="9"/>
        <color rgb="FF00B050"/>
        <rFont val="Arial"/>
        <family val="2"/>
      </rPr>
      <t xml:space="preserve">Updated based on the adopted PNNL occupancy 
</t>
    </r>
  </si>
  <si>
    <r>
      <t xml:space="preserve">T24 2022 - Appendix 5.4B, [Restaurant]
</t>
    </r>
    <r>
      <rPr>
        <sz val="9"/>
        <color rgb="FF00B050"/>
        <rFont val="Arial"/>
        <family val="2"/>
      </rPr>
      <t xml:space="preserve">
Updated based on the adopted PNNL occupancy </t>
    </r>
  </si>
  <si>
    <r>
      <t xml:space="preserve">T24 2022 - Appendix 5.4B, [Restaurant]
</t>
    </r>
    <r>
      <rPr>
        <sz val="9"/>
        <color rgb="FF00B050"/>
        <rFont val="Arial"/>
        <family val="2"/>
      </rPr>
      <t xml:space="preserve">Updated based on the adopted PNNL occupancy 
</t>
    </r>
    <r>
      <rPr>
        <sz val="9"/>
        <color theme="1"/>
        <rFont val="Arial"/>
        <family val="2"/>
      </rPr>
      <t xml:space="preserve">
</t>
    </r>
  </si>
  <si>
    <t>T24 2022 - Appendix 5.4B, [Restaurant]</t>
  </si>
  <si>
    <t>occupancy</t>
  </si>
  <si>
    <t>ExhaustHoodEqualOrLessThan5000cfm</t>
  </si>
  <si>
    <t>ExhaustHoodGreaterThan 5000cfm</t>
  </si>
  <si>
    <r>
      <t xml:space="preserve">T24 2022 - Appendix 5.4B,  [Restaurant]
</t>
    </r>
    <r>
      <rPr>
        <sz val="9"/>
        <color rgb="FF00B050"/>
        <rFont val="Arial"/>
        <family val="2"/>
      </rPr>
      <t xml:space="preserve">
Updated based on the adopted PNNL occupancy</t>
    </r>
  </si>
  <si>
    <r>
      <t xml:space="preserve">T24 2022 - Appendix 5.4B,  [Restaurant]
</t>
    </r>
    <r>
      <rPr>
        <sz val="9"/>
        <color rgb="FF00B050"/>
        <rFont val="Arial"/>
        <family val="2"/>
      </rPr>
      <t>Updated based on the equipment schedule from the plug load and schedule project with CEC</t>
    </r>
  </si>
  <si>
    <t>Thermostat Setpoints of PNNL 09.1, 2022 Restaurant prototype and HVAC availability schedule of CEC Restaurant prototype</t>
  </si>
  <si>
    <t>Other</t>
  </si>
  <si>
    <t xml:space="preserve">Office, Conference space </t>
  </si>
  <si>
    <r>
      <t xml:space="preserve">T24 2022 - Appendix 5.4B, [Office]
</t>
    </r>
    <r>
      <rPr>
        <sz val="9"/>
        <color rgb="FF0070C0"/>
        <rFont val="Arial"/>
        <family val="2"/>
      </rPr>
      <t xml:space="preserve">
Updated base on Plug load and schedules project with CEC, 2025</t>
    </r>
  </si>
  <si>
    <t>T24 2022 - Appendix 5.4B, [Office]</t>
  </si>
  <si>
    <t xml:space="preserve">ElecEquipment </t>
  </si>
  <si>
    <t xml:space="preserve">Plug load and schedules project with CEC, 2025 </t>
  </si>
  <si>
    <r>
      <t xml:space="preserve">T24 2022 - Appendix 5.4B, [Office]
</t>
    </r>
    <r>
      <rPr>
        <sz val="9"/>
        <color rgb="FF0070C0"/>
        <rFont val="Arial"/>
        <family val="2"/>
      </rPr>
      <t>Updated base on Plug load and schedules project with CEC, 202</t>
    </r>
  </si>
  <si>
    <t>Building</t>
  </si>
  <si>
    <t xml:space="preserve">PNNL Large Hotel Prototype (2022)
</t>
  </si>
  <si>
    <t>ExtLightingNonMotionCtrl</t>
  </si>
  <si>
    <t>ExtLightingMotionCtrl</t>
  </si>
  <si>
    <t xml:space="preserve">PNNL Large Hotel Prototype (2022) Modified to 0 for 11 pm to 5 am during weekday and 12 am to 5 am during weekend 
</t>
  </si>
  <si>
    <t>Mech, Storage, Laundry, Lobby, Corridor</t>
  </si>
  <si>
    <t>CommonAreaPeopleActivityLevel</t>
  </si>
  <si>
    <t xml:space="preserve">Based on Activilty level schedules in  CEC Prototypes </t>
  </si>
  <si>
    <t>GuestRoom</t>
  </si>
  <si>
    <t>GuestRoomPeopleActivityLevel</t>
  </si>
  <si>
    <t>FunctionalAreaPeopleActivityLevel</t>
  </si>
  <si>
    <t>Kitchen,  Serive and Back Up Prep</t>
  </si>
  <si>
    <t>KitchenPeopleActivityLevel</t>
  </si>
  <si>
    <t>Dining and Café, Banquet</t>
  </si>
  <si>
    <t>DiningAreaPeopleActivityLevel</t>
  </si>
  <si>
    <t>RetailSalePeopleActivityLevel</t>
  </si>
  <si>
    <t>LargeHotelBasementPeopleActivityLevel</t>
  </si>
  <si>
    <t>Based on Activilty level schedules in  CEC Prototypes and assumed spaces for Basement</t>
  </si>
  <si>
    <t>LargeHotelBasemet</t>
  </si>
  <si>
    <t>Conference and Office in Basement</t>
  </si>
  <si>
    <t>Storage in Basement</t>
  </si>
  <si>
    <t>Previous version of Schedules</t>
  </si>
  <si>
    <t>All Zones at FloorGt/ Dining &amp; Kitchen &amp; Banquet at the FloorT</t>
  </si>
  <si>
    <t>PNNL Large Hotel</t>
  </si>
  <si>
    <t>Assembly Occupancy</t>
  </si>
  <si>
    <t>T24 2022 - Appendix 5.4B</t>
  </si>
  <si>
    <t>Assembly Lighting</t>
  </si>
  <si>
    <t>Assembly Equipment (Plug load)</t>
  </si>
  <si>
    <t>Assembly HVAC availability</t>
  </si>
  <si>
    <t>Assembly Service Hot Water</t>
  </si>
  <si>
    <t>Assembly Infiltration</t>
  </si>
  <si>
    <t>Assembly Gas Equip</t>
  </si>
  <si>
    <t>Guest room Occupancy</t>
  </si>
  <si>
    <t>Guest room Equipment (Plug load)</t>
  </si>
  <si>
    <t>LargeHotelBasement</t>
  </si>
  <si>
    <t>PNNL 2022 Large Hotel prototype</t>
  </si>
  <si>
    <t>T24 2022 - Appendix 5.4B -  [Assembly]</t>
  </si>
  <si>
    <t>CalBEM Energy Consumption - HotelLarge</t>
  </si>
  <si>
    <t>Energy Consumption - Lodging</t>
  </si>
  <si>
    <t>CZ</t>
  </si>
  <si>
    <t>CalBEM Electricity EUI (KBTU/ft²)</t>
  </si>
  <si>
    <t>CalBEM Gas EUI (KBTU/ft²)</t>
  </si>
  <si>
    <t>CalBEM Total  EUI (KBTU/ft²)</t>
  </si>
  <si>
    <t>New Construction  Electricity EUI (KBTU/ft²)</t>
  </si>
  <si>
    <t>New Construction  Gas EUI (KBTU/ft²)</t>
  </si>
  <si>
    <t>New Construction  Total EUI (KBTU/ft²)</t>
  </si>
  <si>
    <t>National Average</t>
  </si>
  <si>
    <t>Acceptable Range (25% Higher)</t>
  </si>
  <si>
    <t>Acceptable Range (25% Lower)</t>
  </si>
  <si>
    <t>National Average Acceptable EUI Range</t>
  </si>
  <si>
    <t>Total Floorspace (Thousand of ft²)</t>
  </si>
  <si>
    <t>Electric Energy Intensity (kWh/ft²)</t>
  </si>
  <si>
    <t>Annual Gas Intensity (kWh/ft²)</t>
  </si>
  <si>
    <t>CEUS 2023 Total EUI (kBtu/ft²)</t>
  </si>
  <si>
    <t xml:space="preserve">CEUS 2022 Acceptable EUI Range </t>
  </si>
  <si>
    <t xml:space="preserve"> HotelLarge</t>
  </si>
  <si>
    <r>
      <rPr>
        <b/>
        <sz val="10"/>
        <color theme="1"/>
        <rFont val="Arial"/>
        <family val="2"/>
      </rPr>
      <t xml:space="preserve">Ref: </t>
    </r>
    <r>
      <rPr>
        <sz val="10"/>
        <color theme="1"/>
        <rFont val="Arial"/>
        <family val="2"/>
      </rPr>
      <t xml:space="preserve">CEUS 2022 Report </t>
    </r>
  </si>
  <si>
    <t xml:space="preserve">And converted FZ level data to CZ level </t>
  </si>
  <si>
    <t>CEUS has only one category for Lodging buildings</t>
  </si>
  <si>
    <t>% of Floor Area per CZ and Vintage Bin - Lodging</t>
  </si>
  <si>
    <t>Vintage Bin</t>
  </si>
  <si>
    <t>Pre-1978</t>
  </si>
  <si>
    <t>Hotel</t>
  </si>
  <si>
    <t>Not available</t>
  </si>
  <si>
    <t>Statewide</t>
  </si>
  <si>
    <t>Ref: CEUS 2022 dataset</t>
  </si>
  <si>
    <t>TBD</t>
  </si>
  <si>
    <t>Space Function</t>
  </si>
  <si>
    <t xml:space="preserve">Exhaust Required? </t>
  </si>
  <si>
    <t>LPD (W/ft²) 2025</t>
  </si>
  <si>
    <t>LPD (W/ft²) 2019</t>
  </si>
  <si>
    <t>LPD (W/ft²) 2016</t>
  </si>
  <si>
    <t>Exhaust Required?</t>
  </si>
  <si>
    <t>Ventilation in T24</t>
  </si>
  <si>
    <t>Aging Eye/Low-vision (Corridor Area)</t>
  </si>
  <si>
    <t>Aging Eye/Low-vision (Dining)</t>
  </si>
  <si>
    <t>TABLE 120.1-A– Minimum Ventilation Rates</t>
  </si>
  <si>
    <t>TABLE 120.1-A MINIMUM VENTILATION RATES</t>
  </si>
  <si>
    <t>TABLE 121-A MINIMUM VENTILATION RATES</t>
  </si>
  <si>
    <t>Aging Eye/Low-vision (Lobby, Main Entry)</t>
  </si>
  <si>
    <t>Occupancy Category</t>
  </si>
  <si>
    <r>
      <t xml:space="preserve">Minimum Occupant Load Density </t>
    </r>
    <r>
      <rPr>
        <b/>
        <i/>
        <sz val="11"/>
        <color theme="1"/>
        <rFont val="Calibri"/>
        <family val="2"/>
        <scheme val="minor"/>
      </rPr>
      <t>(persons / 1000 ft²)</t>
    </r>
  </si>
  <si>
    <t>Area-Based Minimum Ventilation Ra (cfm/ft²)</t>
  </si>
  <si>
    <t>Air Class</t>
  </si>
  <si>
    <t>Type of Use</t>
  </si>
  <si>
    <t>CFM per Square Foot of Conditioned Floor Area</t>
  </si>
  <si>
    <t>Aging Eye/Low-vision (Lounge/Waiting Area)</t>
  </si>
  <si>
    <t>Educational Facilities</t>
  </si>
  <si>
    <t>Daycare (through age 4)</t>
  </si>
  <si>
    <t>--</t>
  </si>
  <si>
    <t>Auto repair workshops</t>
  </si>
  <si>
    <t>Aging Eye/Low-vision (Multipurpose Room)</t>
  </si>
  <si>
    <t>Daycare sickroom</t>
  </si>
  <si>
    <t>Barber shops</t>
  </si>
  <si>
    <t>Aging Eye/Low-vision (Religious Worship Area)</t>
  </si>
  <si>
    <t>Classrooms (ages 5–8)</t>
  </si>
  <si>
    <t>Bars, cocktail lounges, and casinos</t>
  </si>
  <si>
    <t>Aging Eye/Low-vision (Restroom)</t>
  </si>
  <si>
    <t>Classrooms (age 9–18)</t>
  </si>
  <si>
    <t>Beauty shops</t>
  </si>
  <si>
    <t>Aging Eye/Low-vision (Stairwell)</t>
  </si>
  <si>
    <t>Lecture / postsecondary classroom</t>
  </si>
  <si>
    <t>F</t>
  </si>
  <si>
    <t>Coin-operated dry cleaning</t>
  </si>
  <si>
    <t>Audience Seating Area</t>
  </si>
  <si>
    <t>Lecture hall (fixed seats)</t>
  </si>
  <si>
    <t>Commercial dry cleaning</t>
  </si>
  <si>
    <t>Auditorium Area</t>
  </si>
  <si>
    <t>Art classroom</t>
  </si>
  <si>
    <t>High-rise residential Ventilation Rates (CBC)</t>
  </si>
  <si>
    <t>Ventilation Rates Specified by the CBC</t>
  </si>
  <si>
    <t>—</t>
  </si>
  <si>
    <t>Auto Repair / Maintenance Area</t>
  </si>
  <si>
    <t>Science laboratories</t>
  </si>
  <si>
    <t>Hotel guest rooms (&lt;500 ft²)</t>
  </si>
  <si>
    <t>30 cfm/guest room</t>
  </si>
  <si>
    <t>Barber, Beauty Salon, Spa Area</t>
  </si>
  <si>
    <t>University / college laboratories</t>
  </si>
  <si>
    <t>Hotel guest rooms (≥500 ft²)</t>
  </si>
  <si>
    <t>Civic Meeting Place Area</t>
  </si>
  <si>
    <t>Wood / metal shop</t>
  </si>
  <si>
    <t>Retail stores</t>
  </si>
  <si>
    <t>Classroom, Lecture, Training, Vocational Areas</t>
  </si>
  <si>
    <t>Computer lab</t>
  </si>
  <si>
    <t>All others</t>
  </si>
  <si>
    <t>Concourse and Atria Area</t>
  </si>
  <si>
    <t>Media center</t>
  </si>
  <si>
    <t>A</t>
  </si>
  <si>
    <t>Music / theater / dance</t>
  </si>
  <si>
    <t>Copy Room</t>
  </si>
  <si>
    <t>Multiuse assembly</t>
  </si>
  <si>
    <t>Food and Beverage Service</t>
  </si>
  <si>
    <t>Restaurant dining rooms</t>
  </si>
  <si>
    <t>Cafeteria / fast-food dining</t>
  </si>
  <si>
    <t>Bars, cocktail lounges</t>
  </si>
  <si>
    <t>Dining Area (Family and Leisure)</t>
  </si>
  <si>
    <t>Kitchen (cooking)</t>
  </si>
  <si>
    <t>General</t>
  </si>
  <si>
    <t>Break rooms</t>
  </si>
  <si>
    <t>Exercise/Fitness Center and Gymnasium Areas</t>
  </si>
  <si>
    <t>Coffee stations</t>
  </si>
  <si>
    <t>Financial Transaction Area</t>
  </si>
  <si>
    <t>Conference / meeting</t>
  </si>
  <si>
    <t>Healthcare Facility and Hospitals (Exam/Treatment Room)</t>
  </si>
  <si>
    <t>Healthcare Facility and Hospitals (Imaging Room)</t>
  </si>
  <si>
    <t>Occupiable storage rooms for liquids or gels</t>
  </si>
  <si>
    <t>B</t>
  </si>
  <si>
    <t>Healthcare Facility and Hospitals (Medical Supply Room)</t>
  </si>
  <si>
    <t>Hotel, Motel, Resort, Dormitories</t>
  </si>
  <si>
    <t>Bedroom / living room</t>
  </si>
  <si>
    <t>Healthcare Facility and Hospitals (Nursery)</t>
  </si>
  <si>
    <t>Barracks sleeping areas</t>
  </si>
  <si>
    <t>Healthcare Facility and Hospitals (Nurse's Station)</t>
  </si>
  <si>
    <t>Laundry rooms, central</t>
  </si>
  <si>
    <t>Healthcare Facility and Hospitals (Operating Room)</t>
  </si>
  <si>
    <t>Laundry rooms within dwelling units</t>
  </si>
  <si>
    <t>Healthcare Facility and Hospitals (Patient Room)</t>
  </si>
  <si>
    <t>Lobbies / pre-function</t>
  </si>
  <si>
    <t>Healthcare Facility and Hospitals (Physical Therapy Room)</t>
  </si>
  <si>
    <t>Multipurpose assembly</t>
  </si>
  <si>
    <t>Healthcare Facility and Hospitals (Recovery Room)</t>
  </si>
  <si>
    <t>Office Building</t>
  </si>
  <si>
    <t>Bank vaults / safe deposit</t>
  </si>
  <si>
    <t>Banks or bank lobbies</t>
  </si>
  <si>
    <t>Computer (not printing)</t>
  </si>
  <si>
    <t>Kitchenette or Residential Kitchen</t>
  </si>
  <si>
    <t>Freezer &amp; refrigerated spaces (&lt;50°F)</t>
  </si>
  <si>
    <t>E</t>
  </si>
  <si>
    <t>Laboratory, Scientific</t>
  </si>
  <si>
    <t>Breakrooms</t>
  </si>
  <si>
    <t>Main entry lobbies</t>
  </si>
  <si>
    <t>Library (Reading Area)</t>
  </si>
  <si>
    <t>Occupiable storage rooms for dry materials</t>
  </si>
  <si>
    <t>Library (Stacks Area)</t>
  </si>
  <si>
    <t>Office space</t>
  </si>
  <si>
    <t>Reception areas</t>
  </si>
  <si>
    <t>Locker Room</t>
  </si>
  <si>
    <t>Telephone / data entry</t>
  </si>
  <si>
    <t>Lounge, Breakroom, or Waiting Area</t>
  </si>
  <si>
    <t>Miscellaneous Spaces</t>
  </si>
  <si>
    <t>Manufacturing, Commercial &amp; Industrial Work Area (Low Bay)</t>
  </si>
  <si>
    <t>Manufacturing, Commercial &amp; Industrial Work Area (High Bay)</t>
  </si>
  <si>
    <t>Manufacturing, Commercial &amp; Industrial Work Area (Precision)</t>
  </si>
  <si>
    <t>Museum Area (Exhibition/Display)</t>
  </si>
  <si>
    <t>Industrial &amp; Miscellaneous Spaces</t>
  </si>
  <si>
    <t>General manufacturing (excluding heavy industrial &amp; chemical processes)</t>
  </si>
  <si>
    <t>Museum Area (Restoration Room)</t>
  </si>
  <si>
    <t>Pharmacy (prep. area)</t>
  </si>
  <si>
    <t>Photo studios</t>
  </si>
  <si>
    <t>Office Area (&lt;250 square feet)</t>
  </si>
  <si>
    <t>Shipping / receiving</t>
  </si>
  <si>
    <t>Parking Garage Area (Parking Zone and Ramps)</t>
  </si>
  <si>
    <t>Sorting, packing, light assembly</t>
  </si>
  <si>
    <t>Parking Garage Area (Daylight Adaptation Zones)</t>
  </si>
  <si>
    <t>Telephone closets</t>
  </si>
  <si>
    <t>Pharmacy Area</t>
  </si>
  <si>
    <t>Transportation waiting</t>
  </si>
  <si>
    <t>Retail Sales Area (Grocery Sales)</t>
  </si>
  <si>
    <t>Warehouses</t>
  </si>
  <si>
    <t>Retail Sales Area (Fitting Room)</t>
  </si>
  <si>
    <t>Sales (except as below)</t>
  </si>
  <si>
    <t>Religious Worship Area</t>
  </si>
  <si>
    <t>Mall common areas</t>
  </si>
  <si>
    <t>Restrooms</t>
  </si>
  <si>
    <t>Barbershop</t>
  </si>
  <si>
    <t>Stairwell</t>
  </si>
  <si>
    <t>Beauty and nail salons</t>
  </si>
  <si>
    <t>Storage, Commercial/Industrial (Warehouse)</t>
  </si>
  <si>
    <t>Pet shops (animal areas)</t>
  </si>
  <si>
    <t>Storage, Commercial/Industrial (Refrigerated)</t>
  </si>
  <si>
    <t>Supermarket</t>
  </si>
  <si>
    <t>Storage, Commercial/Industrial (Shipping &amp; Handling)</t>
  </si>
  <si>
    <t>Coin-operated laundries</t>
  </si>
  <si>
    <t>Public Assembly Spaces</t>
  </si>
  <si>
    <t>Auditorium seating area</t>
  </si>
  <si>
    <t>Sports Arena - Playing Area (&gt; 5,000 Spectators)</t>
  </si>
  <si>
    <t>Places of religious worship</t>
  </si>
  <si>
    <t>Sports Arena - Playing Area (2,000 - 5,000 Spectators)</t>
  </si>
  <si>
    <t>Courtrooms</t>
  </si>
  <si>
    <t>Sports Arena - Playing Area (&lt; 2,000 Spectators)</t>
  </si>
  <si>
    <t>Legislative chambers</t>
  </si>
  <si>
    <t>Sports Arena - Playing Area (Recreational)</t>
  </si>
  <si>
    <t>Libraries (reading rooms and stack areas)</t>
  </si>
  <si>
    <t>Theater Area (Motion Picture)</t>
  </si>
  <si>
    <t>Lobbies</t>
  </si>
  <si>
    <t>Theater Area (Performance)</t>
  </si>
  <si>
    <t>Museums (children’s)</t>
  </si>
  <si>
    <t>Transportation Function (Baggage Area)</t>
  </si>
  <si>
    <t>Museums / galleries</t>
  </si>
  <si>
    <t>Transportation Function (Ticketing Area)</t>
  </si>
  <si>
    <t>Common corridors</t>
  </si>
  <si>
    <t>Videoconferencing Studio</t>
  </si>
  <si>
    <t>High-Rise Residential Living Spaces</t>
  </si>
  <si>
    <t>General footnotes for Table 120.1-A:</t>
  </si>
  <si>
    <t>1 The minimum occupant density is one half of the maximum occupant load assumed for egress</t>
  </si>
  <si>
    <t>All other</t>
  </si>
  <si>
    <t>purposes in the CBC.</t>
  </si>
  <si>
    <t>Attic</t>
  </si>
  <si>
    <t>Specific Notes:</t>
  </si>
  <si>
    <t>Reception Area</t>
  </si>
  <si>
    <t>A – For high-school and college libraries, the values shown for “Public Assembly Spaces – Libraries” shall</t>
  </si>
  <si>
    <t>be used.</t>
  </si>
  <si>
    <t>Plenum</t>
  </si>
  <si>
    <t>B – Rate may not be sufficient where stored materials include those having potentially harmful</t>
  </si>
  <si>
    <t>IT Room (EPD 12)</t>
  </si>
  <si>
    <t>emissions.</t>
  </si>
  <si>
    <t>Computer Room (EPD 20)</t>
  </si>
  <si>
    <t>C – Rate does not allow for humidity control. “Deck area” refers to the area surrounding the pool that is</t>
  </si>
  <si>
    <t>Server Room (EPD 45)</t>
  </si>
  <si>
    <t>capable of being wetted during pool use or when the pool is occupied. Deck area that is not expected to</t>
  </si>
  <si>
    <t>Basement of Large Hotel</t>
  </si>
  <si>
    <t>Space considered in Basement</t>
  </si>
  <si>
    <t>Share</t>
  </si>
  <si>
    <t xml:space="preserve">People 
(Persons/1,000 ft²) 
Ref: T24, 2025,  Table 120.1-A </t>
  </si>
  <si>
    <t>LPD 2025</t>
  </si>
  <si>
    <t>LPD 2019</t>
  </si>
  <si>
    <t>LPD 2016</t>
  </si>
  <si>
    <t xml:space="preserve">Hot Water [Gal/h per Person] </t>
  </si>
  <si>
    <t>Internal Mass ft2 (2 ft2 mass per 1  ft2 of floor area)</t>
  </si>
  <si>
    <t>be wetted shall be designated as an occupancy category.</t>
  </si>
  <si>
    <t>Conference</t>
  </si>
  <si>
    <t>D – Rate does not include special exhaust for stage effects such as dry ice vapors and smoke.</t>
  </si>
  <si>
    <t xml:space="preserve">Office </t>
  </si>
  <si>
    <t>E – Where combustion equipment is intended to be used on the playing surface or in the space,</t>
  </si>
  <si>
    <t>Service and back up prep</t>
  </si>
  <si>
    <t xml:space="preserve">Kitchen/Food Preparation Area </t>
  </si>
  <si>
    <t>0.7 cfm/ft2</t>
  </si>
  <si>
    <t>additional dilution ventilation, source control, or both shall be provided.</t>
  </si>
  <si>
    <t>F – Ventilation air for this occupancy category shall be permitted to be reduced to zero when the space</t>
  </si>
  <si>
    <t>is in occupied-standby mode.</t>
  </si>
  <si>
    <t>Table 120.1-B – Minimum Exhaust Rates [ASHRAE 62.1: Table 6-2]</t>
  </si>
  <si>
    <t>Exhaust Rate (cfm/unit)</t>
  </si>
  <si>
    <t>Exhaust Rate (cfm/ft²)</t>
  </si>
  <si>
    <t>Animal imaging (MRI/CT/PET)</t>
  </si>
  <si>
    <t>Animal operating rooms</t>
  </si>
  <si>
    <t>Animal postoperative recovery room</t>
  </si>
  <si>
    <t>Animal preparation rooms</t>
  </si>
  <si>
    <t>Animal procedure room</t>
  </si>
  <si>
    <t>Animal surgery scrub</t>
  </si>
  <si>
    <t>Large-animal holding room</t>
  </si>
  <si>
    <t>Animal necropsy</t>
  </si>
  <si>
    <t>Small-animal-cage room (static cages)</t>
  </si>
  <si>
    <t>Small-animal-cage room (ventilated cages)</t>
  </si>
  <si>
    <t>Arenas</t>
  </si>
  <si>
    <t>Art classrooms</t>
  </si>
  <si>
    <t>Auto repair rooms</t>
  </si>
  <si>
    <t>Cells with toilet</t>
  </si>
  <si>
    <t>Copy, printing rooms</t>
  </si>
  <si>
    <t>Darkrooms</t>
  </si>
  <si>
    <t>Educational science laboratories</t>
  </si>
  <si>
    <t>Janitor closets, trash rooms, recycling</t>
  </si>
  <si>
    <t>Kitchenettes</t>
  </si>
  <si>
    <t>Kitchens – commercial</t>
  </si>
  <si>
    <t>Locker rooms for athletic or industrial facilities</t>
  </si>
  <si>
    <t>All other locker rooms</t>
  </si>
  <si>
    <t>Shower rooms 20/50</t>
  </si>
  <si>
    <t>G,H</t>
  </si>
  <si>
    <t>Paint spray booths</t>
  </si>
  <si>
    <t>Parking garages</t>
  </si>
  <si>
    <t>C</t>
  </si>
  <si>
    <t>Refrigerating machinery rooms</t>
  </si>
  <si>
    <t>Soiled laundry storage rooms</t>
  </si>
  <si>
    <t>Storage rooms, chemical</t>
  </si>
  <si>
    <t>Toilets – private 25/50</t>
  </si>
  <si>
    <t>Toilets – public 50/70</t>
  </si>
  <si>
    <t>D</t>
  </si>
  <si>
    <t>Woodwork shop/classrooms</t>
  </si>
  <si>
    <t>Notes:</t>
  </si>
  <si>
    <t>A – Stands where engines are run shall have exhaust systems that directly connect to the engine exhaust and</t>
  </si>
  <si>
    <t>prevent escape of fumes.</t>
  </si>
  <si>
    <t>B – Where combustion equipment is intended to be used on the playing surface, additional dilution</t>
  </si>
  <si>
    <t>ventilation, source control, or both shall be provided.</t>
  </si>
  <si>
    <t>C – Exhaust shall not be required where two or more sides comprise walls that are at least 50% open to the</t>
  </si>
  <si>
    <t>outside.</t>
  </si>
  <si>
    <t>D – Rate is per water closet, urinal, or both. Provide the higher rate where periods of heavy use are expected</t>
  </si>
  <si>
    <t>to occur. The lower rate shall be permitted to be used otherwise.</t>
  </si>
  <si>
    <t>E – Rate is for a toilet room intended to be occupied by one person at a time. For continuous systems</t>
  </si>
  <si>
    <t>operation during hours of use, the lower rate shall be permitted to be used. Otherwise the higher rate</t>
  </si>
  <si>
    <t>shall be used.</t>
  </si>
  <si>
    <t>F – See other applicable standards for exhaust rate.</t>
  </si>
  <si>
    <t>G – For continuous system operation, the lower rate shall be permitted to be used. Otherwise the higher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</si>
</sst>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1">
    <numFmt numFmtId="43" formatCode="_(* #,##0.00_);_(* \(#,##0.00\);_(* &quot;-&quot;??_);_(@_)"/>
    <numFmt numFmtId="164" formatCode="0.0%"/>
    <numFmt numFmtId="165" formatCode="0.0"/>
    <numFmt numFmtId="166" formatCode="#,##0.0"/>
    <numFmt numFmtId="167" formatCode="0.0000"/>
    <numFmt numFmtId="168" formatCode="0.000"/>
    <numFmt numFmtId="169" formatCode="_(* #,##0_);_(* \(#,##0\);_(* &quot;-&quot;??_);_(@_)"/>
    <numFmt numFmtId="170" formatCode="#,##0;\-0;[Color15]0"/>
    <numFmt numFmtId="171" formatCode="0.00000"/>
    <numFmt numFmtId="172" formatCode="_(* #,##0.0_);_(* \(#,##0.0\);_(* &quot;-&quot;?????_);_(@_)"/>
    <numFmt numFmtId="173" formatCode="_(* #,##0.0_);_(* \(#,##0.0\);_(* &quot;-&quot;??_);_(@_)"/>
  </numFmts>
  <fonts count="84">
    <font>
      <sz val="11"/>
      <color theme="1"/>
      <name val="Calibri"/>
      <family val="2"/>
      <scheme val="minor"/>
    </font>
    <font>
      <b/>
      <sz val="14"/>
      <color theme="1"/>
      <name val="Calibri"/>
      <family val="2"/>
      <scheme val="minor"/>
    </font>
    <font>
      <sz val="10"/>
      <name val="Arial"/>
      <family val="2"/>
    </font>
    <font>
      <sz val="11"/>
      <color theme="1"/>
      <name val="Calibri"/>
      <family val="2"/>
      <scheme val="minor"/>
    </font>
    <font>
      <b/>
      <sz val="11"/>
      <color theme="1"/>
      <name val="Calibri"/>
      <family val="2"/>
      <scheme val="minor"/>
    </font>
    <font>
      <b/>
      <sz val="9"/>
      <color indexed="81"/>
      <name val="Tahoma"/>
      <family val="2"/>
    </font>
    <font>
      <sz val="9"/>
      <color indexed="81"/>
      <name val="Tahoma"/>
      <family val="2"/>
    </font>
    <font>
      <sz val="8"/>
      <color indexed="8"/>
      <name val="MS Sans Serif"/>
      <family val="2"/>
    </font>
    <font>
      <sz val="8"/>
      <name val="Calibri"/>
      <family val="2"/>
      <scheme val="minor"/>
    </font>
    <font>
      <sz val="10"/>
      <color theme="1"/>
      <name val="Arial"/>
      <family val="2"/>
    </font>
    <font>
      <b/>
      <sz val="12"/>
      <name val="Calibri"/>
      <family val="2"/>
      <scheme val="minor"/>
    </font>
    <font>
      <b/>
      <sz val="10"/>
      <color theme="1"/>
      <name val="Arial"/>
      <family val="2"/>
    </font>
    <font>
      <u/>
      <sz val="11"/>
      <color theme="10"/>
      <name val="Calibri"/>
      <family val="2"/>
      <scheme val="minor"/>
    </font>
    <font>
      <b/>
      <sz val="12"/>
      <color theme="1"/>
      <name val="Calibri"/>
      <family val="2"/>
      <scheme val="minor"/>
    </font>
    <font>
      <sz val="10"/>
      <color indexed="8"/>
      <name val="Arial"/>
      <family val="2"/>
    </font>
    <font>
      <sz val="11"/>
      <color theme="1"/>
      <name val="Arial"/>
      <family val="2"/>
    </font>
    <font>
      <b/>
      <sz val="12"/>
      <color theme="0"/>
      <name val="Arial"/>
      <family val="2"/>
    </font>
    <font>
      <sz val="11"/>
      <color rgb="FF000000"/>
      <name val="Calibri"/>
      <family val="2"/>
      <scheme val="minor"/>
    </font>
    <font>
      <b/>
      <sz val="14"/>
      <color theme="1"/>
      <name val="Arial"/>
      <family val="2"/>
    </font>
    <font>
      <u/>
      <sz val="10"/>
      <color theme="10"/>
      <name val="Arial"/>
      <family val="2"/>
    </font>
    <font>
      <sz val="10"/>
      <color theme="1"/>
      <name val="Calibri"/>
      <family val="2"/>
      <scheme val="minor"/>
    </font>
    <font>
      <sz val="11"/>
      <color rgb="FF0070C0"/>
      <name val="Arial"/>
      <family val="2"/>
    </font>
    <font>
      <b/>
      <sz val="10"/>
      <name val="Arial"/>
      <family val="2"/>
    </font>
    <font>
      <b/>
      <sz val="10"/>
      <color indexed="8"/>
      <name val="Arial"/>
      <family val="2"/>
    </font>
    <font>
      <sz val="10"/>
      <color theme="4" tint="-0.499984740745262"/>
      <name val="Arial"/>
      <family val="2"/>
    </font>
    <font>
      <sz val="10"/>
      <color rgb="FFFF0000"/>
      <name val="Arial"/>
      <family val="2"/>
    </font>
    <font>
      <sz val="10"/>
      <color rgb="FFC00000"/>
      <name val="Arial"/>
      <family val="2"/>
    </font>
    <font>
      <sz val="9"/>
      <color theme="1"/>
      <name val="Arial"/>
      <family val="2"/>
    </font>
    <font>
      <sz val="10"/>
      <color rgb="FF000000"/>
      <name val="Arial"/>
      <family val="2"/>
    </font>
    <font>
      <b/>
      <sz val="10"/>
      <color rgb="FF000000"/>
      <name val="Arial"/>
      <family val="2"/>
    </font>
    <font>
      <b/>
      <sz val="9"/>
      <color theme="0"/>
      <name val="Arial"/>
      <family val="2"/>
    </font>
    <font>
      <sz val="11"/>
      <color theme="1"/>
      <name val="Arial"/>
      <family val="2"/>
    </font>
    <font>
      <b/>
      <sz val="12"/>
      <color theme="1"/>
      <name val="Arial"/>
      <family val="2"/>
    </font>
    <font>
      <b/>
      <sz val="14"/>
      <color theme="1"/>
      <name val="Arial"/>
      <family val="2"/>
    </font>
    <font>
      <sz val="11"/>
      <color theme="0"/>
      <name val="Arial"/>
      <family val="2"/>
    </font>
    <font>
      <sz val="11"/>
      <name val="Arial"/>
      <family val="2"/>
    </font>
    <font>
      <b/>
      <sz val="14"/>
      <color theme="0"/>
      <name val="Arial"/>
      <family val="2"/>
    </font>
    <font>
      <sz val="11"/>
      <color theme="0" tint="-0.34998626667073579"/>
      <name val="Arial"/>
      <family val="2"/>
    </font>
    <font>
      <b/>
      <sz val="10"/>
      <color theme="0"/>
      <name val="Arial"/>
      <family val="2"/>
    </font>
    <font>
      <sz val="11"/>
      <color rgb="FFFF0000"/>
      <name val="Arial"/>
      <family val="2"/>
    </font>
    <font>
      <sz val="8"/>
      <color rgb="FFC00000"/>
      <name val="Arial"/>
      <family val="2"/>
    </font>
    <font>
      <sz val="10"/>
      <color theme="0" tint="-0.499984740745262"/>
      <name val="Arial"/>
      <family val="2"/>
    </font>
    <font>
      <sz val="11"/>
      <color rgb="FFFF0000"/>
      <name val="Calibri"/>
      <family val="2"/>
      <scheme val="minor"/>
    </font>
    <font>
      <sz val="11"/>
      <color rgb="FF242424"/>
      <name val="Aptos Narrow"/>
      <family val="2"/>
    </font>
    <font>
      <b/>
      <sz val="10"/>
      <color rgb="FFC00000"/>
      <name val="Arial"/>
      <family val="2"/>
    </font>
    <font>
      <b/>
      <sz val="11"/>
      <color theme="1"/>
      <name val="Arial"/>
      <family val="2"/>
    </font>
    <font>
      <b/>
      <sz val="14"/>
      <color rgb="FF002060"/>
      <name val="Arial"/>
      <family val="2"/>
    </font>
    <font>
      <b/>
      <sz val="10"/>
      <color theme="1"/>
      <name val="Calibri"/>
      <family val="2"/>
      <scheme val="minor"/>
    </font>
    <font>
      <sz val="10"/>
      <color theme="0" tint="-0.34998626667073579"/>
      <name val="Arial"/>
      <family val="2"/>
    </font>
    <font>
      <b/>
      <sz val="10"/>
      <color rgb="FF0000CC"/>
      <name val="Arial"/>
      <family val="2"/>
    </font>
    <font>
      <sz val="11"/>
      <color theme="0" tint="-0.499984740745262"/>
      <name val="Arial"/>
      <family val="2"/>
    </font>
    <font>
      <sz val="11"/>
      <name val="Calibri"/>
      <family val="2"/>
      <scheme val="minor"/>
    </font>
    <font>
      <b/>
      <sz val="10"/>
      <color rgb="FF002060"/>
      <name val="Arial"/>
      <family val="2"/>
    </font>
    <font>
      <sz val="10"/>
      <color theme="0" tint="-0.499984740745262"/>
      <name val="Calibri"/>
      <family val="2"/>
      <scheme val="minor"/>
    </font>
    <font>
      <b/>
      <sz val="12"/>
      <color rgb="FFFFFFFF"/>
      <name val="Arial"/>
      <family val="2"/>
    </font>
    <font>
      <u/>
      <sz val="11"/>
      <color theme="10"/>
      <name val="Arial"/>
      <family val="2"/>
    </font>
    <font>
      <sz val="10"/>
      <name val="Calibri"/>
      <family val="2"/>
      <scheme val="minor"/>
    </font>
    <font>
      <sz val="11"/>
      <color rgb="FF00B050"/>
      <name val="Calibri"/>
      <family val="2"/>
      <scheme val="minor"/>
    </font>
    <font>
      <sz val="8"/>
      <color theme="1"/>
      <name val="Arial"/>
      <family val="2"/>
    </font>
    <font>
      <sz val="10"/>
      <color rgb="FF0070C0"/>
      <name val="Arial"/>
      <family val="2"/>
    </font>
    <font>
      <sz val="10"/>
      <color rgb="FFFF0000"/>
      <name val="Calibri"/>
      <family val="2"/>
      <scheme val="minor"/>
    </font>
    <font>
      <sz val="10"/>
      <color rgb="FF8238BA"/>
      <name val="Calibri"/>
      <family val="2"/>
      <scheme val="minor"/>
    </font>
    <font>
      <b/>
      <sz val="9"/>
      <color theme="1"/>
      <name val="Calibri"/>
      <family val="2"/>
      <scheme val="minor"/>
    </font>
    <font>
      <b/>
      <sz val="9"/>
      <name val="Calibri"/>
      <family val="2"/>
      <scheme val="minor"/>
    </font>
    <font>
      <sz val="9"/>
      <color theme="1"/>
      <name val="Calibri"/>
      <family val="2"/>
      <scheme val="minor"/>
    </font>
    <font>
      <sz val="9"/>
      <name val="Arial"/>
      <family val="2"/>
    </font>
    <font>
      <sz val="9"/>
      <color rgb="FF8238BA"/>
      <name val="Calibri"/>
      <family val="2"/>
      <scheme val="minor"/>
    </font>
    <font>
      <sz val="9"/>
      <color rgb="FF7030A0"/>
      <name val="Calibri"/>
      <family val="2"/>
      <scheme val="minor"/>
    </font>
    <font>
      <u/>
      <sz val="10"/>
      <color theme="10"/>
      <name val="Calibri"/>
      <family val="2"/>
      <scheme val="minor"/>
    </font>
    <font>
      <sz val="9"/>
      <color rgb="FF0070C0"/>
      <name val="Arial"/>
      <family val="2"/>
    </font>
    <font>
      <sz val="10"/>
      <color theme="0"/>
      <name val="Arial"/>
      <family val="2"/>
    </font>
    <font>
      <b/>
      <sz val="9"/>
      <color theme="1"/>
      <name val="Arial"/>
      <family val="2"/>
    </font>
    <font>
      <sz val="10"/>
      <color theme="4"/>
      <name val="Arial"/>
      <family val="2"/>
    </font>
    <font>
      <vertAlign val="subscript"/>
      <sz val="10"/>
      <color theme="1"/>
      <name val="Arial"/>
      <family val="2"/>
    </font>
    <font>
      <b/>
      <sz val="11"/>
      <color rgb="FF002060"/>
      <name val="Arial"/>
      <family val="2"/>
    </font>
    <font>
      <sz val="14"/>
      <color rgb="FF000000"/>
      <name val="Times New Roman"/>
      <family val="1"/>
    </font>
    <font>
      <sz val="9"/>
      <color rgb="FF7030A0"/>
      <name val="Arial"/>
      <family val="2"/>
    </font>
    <font>
      <sz val="9"/>
      <color rgb="FFFF0000"/>
      <name val="Arial"/>
      <family val="2"/>
    </font>
    <font>
      <sz val="9"/>
      <color rgb="FF00B050"/>
      <name val="Arial"/>
      <family val="2"/>
    </font>
    <font>
      <b/>
      <sz val="10"/>
      <color rgb="FFFF0000"/>
      <name val="Arial"/>
      <family val="2"/>
    </font>
    <font>
      <sz val="11"/>
      <color rgb="FF002F8E"/>
      <name val="Calibri"/>
      <family val="2"/>
      <scheme val="minor"/>
    </font>
    <font>
      <b/>
      <sz val="16"/>
      <color rgb="FF0000CC"/>
      <name val="Arial"/>
      <family val="2"/>
    </font>
    <font>
      <b/>
      <i/>
      <sz val="11"/>
      <color theme="1"/>
      <name val="Calibri"/>
      <family val="2"/>
      <scheme val="minor"/>
    </font>
    <font>
      <b/>
      <sz val="18"/>
      <color theme="1"/>
      <name val="Calibri"/>
      <family val="2"/>
      <scheme val="minor"/>
    </font>
  </fonts>
  <fills count="26">
    <fill>
      <patternFill patternType="none"/>
    </fill>
    <fill>
      <patternFill patternType="gray125"/>
    </fill>
    <fill>
      <patternFill patternType="solid">
        <fgColor rgb="FF92D050"/>
        <bgColor indexed="64"/>
      </patternFill>
    </fill>
    <fill>
      <patternFill patternType="solid">
        <fgColor theme="0" tint="-0.249977111117893"/>
        <bgColor indexed="64"/>
      </patternFill>
    </fill>
    <fill>
      <patternFill patternType="solid">
        <fgColor theme="7" tint="0.59999389629810485"/>
        <bgColor indexed="64"/>
      </patternFill>
    </fill>
    <fill>
      <patternFill patternType="solid">
        <fgColor rgb="FFFFFF00"/>
        <bgColor indexed="64"/>
      </patternFill>
    </fill>
    <fill>
      <patternFill patternType="solid">
        <fgColor theme="0"/>
        <bgColor indexed="64"/>
      </patternFill>
    </fill>
    <fill>
      <patternFill patternType="solid">
        <fgColor theme="0" tint="-0.14999847407452621"/>
        <bgColor indexed="64"/>
      </patternFill>
    </fill>
    <fill>
      <patternFill patternType="solid">
        <fgColor rgb="FF002060"/>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4" tint="-0.499984740745262"/>
        <bgColor indexed="64"/>
      </patternFill>
    </fill>
    <fill>
      <patternFill patternType="solid">
        <fgColor theme="1" tint="0.34998626667073579"/>
        <bgColor indexed="64"/>
      </patternFill>
    </fill>
    <fill>
      <patternFill patternType="solid">
        <fgColor theme="1" tint="0.499984740745262"/>
        <bgColor indexed="64"/>
      </patternFill>
    </fill>
    <fill>
      <patternFill patternType="solid">
        <fgColor rgb="FFECF0F8"/>
        <bgColor indexed="64"/>
      </patternFill>
    </fill>
    <fill>
      <patternFill patternType="solid">
        <fgColor rgb="FFFFFBEF"/>
        <bgColor indexed="64"/>
      </patternFill>
    </fill>
    <fill>
      <patternFill patternType="solid">
        <fgColor rgb="FFDDDDFF"/>
        <bgColor indexed="64"/>
      </patternFill>
    </fill>
    <fill>
      <patternFill patternType="solid">
        <fgColor rgb="FFD9E1F2"/>
        <bgColor rgb="FF000000"/>
      </patternFill>
    </fill>
    <fill>
      <patternFill patternType="solid">
        <fgColor rgb="FF203764"/>
        <bgColor rgb="FF000000"/>
      </patternFill>
    </fill>
    <fill>
      <patternFill patternType="solid">
        <fgColor rgb="FFF3F3F3"/>
        <bgColor indexed="64"/>
      </patternFill>
    </fill>
    <fill>
      <patternFill patternType="solid">
        <fgColor theme="0" tint="-0.34998626667073579"/>
        <bgColor indexed="64"/>
      </patternFill>
    </fill>
    <fill>
      <patternFill patternType="lightUp"/>
    </fill>
    <fill>
      <patternFill patternType="solid">
        <fgColor rgb="FFFFFFFF"/>
        <bgColor rgb="FF000000"/>
      </patternFill>
    </fill>
    <fill>
      <patternFill patternType="solid">
        <fgColor rgb="FFFFC000"/>
        <bgColor indexed="64"/>
      </patternFill>
    </fill>
    <fill>
      <patternFill patternType="solid">
        <fgColor rgb="FFFFF2CC"/>
        <bgColor rgb="FF000000"/>
      </patternFill>
    </fill>
  </fills>
  <borders count="244">
    <border>
      <left/>
      <right/>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bottom/>
      <diagonal/>
    </border>
    <border>
      <left style="thin">
        <color indexed="64"/>
      </left>
      <right/>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style="thin">
        <color theme="0" tint="-0.499984740745262"/>
      </right>
      <top/>
      <bottom/>
      <diagonal/>
    </border>
    <border>
      <left style="thin">
        <color theme="0" tint="-0.499984740745262"/>
      </left>
      <right style="thin">
        <color theme="0" tint="-0.499984740745262"/>
      </right>
      <top/>
      <bottom style="thin">
        <color theme="0" tint="-0.499984740745262"/>
      </bottom>
      <diagonal/>
    </border>
    <border>
      <left style="thin">
        <color theme="0" tint="-0.499984740745262"/>
      </left>
      <right style="thin">
        <color theme="0" tint="-0.499984740745262"/>
      </right>
      <top style="thin">
        <color theme="0" tint="-0.499984740745262"/>
      </top>
      <bottom/>
      <diagonal/>
    </border>
    <border>
      <left style="thin">
        <color theme="0" tint="-0.499984740745262"/>
      </left>
      <right/>
      <top style="thin">
        <color theme="0" tint="-0.499984740745262"/>
      </top>
      <bottom style="thin">
        <color theme="0" tint="-0.499984740745262"/>
      </bottom>
      <diagonal/>
    </border>
    <border>
      <left/>
      <right/>
      <top style="thin">
        <color theme="0" tint="-0.499984740745262"/>
      </top>
      <bottom style="thin">
        <color theme="0" tint="-0.499984740745262"/>
      </bottom>
      <diagonal/>
    </border>
    <border>
      <left/>
      <right style="thin">
        <color theme="0" tint="-0.499984740745262"/>
      </right>
      <top style="thin">
        <color theme="0" tint="-0.499984740745262"/>
      </top>
      <bottom style="thin">
        <color theme="0" tint="-0.499984740745262"/>
      </bottom>
      <diagonal/>
    </border>
    <border>
      <left style="thin">
        <color theme="0" tint="-0.499984740745262"/>
      </left>
      <right/>
      <top/>
      <bottom/>
      <diagonal/>
    </border>
    <border>
      <left style="thin">
        <color theme="0" tint="-0.499984740745262"/>
      </left>
      <right/>
      <top style="thin">
        <color theme="0" tint="-0.499984740745262"/>
      </top>
      <bottom/>
      <diagonal/>
    </border>
    <border>
      <left style="thin">
        <color indexed="64"/>
      </left>
      <right style="thin">
        <color indexed="64"/>
      </right>
      <top style="thin">
        <color indexed="64"/>
      </top>
      <bottom style="medium">
        <color indexed="64"/>
      </bottom>
      <diagonal/>
    </border>
    <border>
      <left/>
      <right/>
      <top/>
      <bottom style="thin">
        <color theme="0" tint="-0.499984740745262"/>
      </bottom>
      <diagonal/>
    </border>
    <border>
      <left style="thin">
        <color theme="0" tint="-0.499984740745262"/>
      </left>
      <right style="thin">
        <color theme="0" tint="-0.499984740745262"/>
      </right>
      <top style="thin">
        <color indexed="64"/>
      </top>
      <bottom/>
      <diagonal/>
    </border>
    <border>
      <left/>
      <right/>
      <top style="thin">
        <color theme="0" tint="-0.499984740745262"/>
      </top>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thin">
        <color theme="1" tint="0.499984740745262"/>
      </left>
      <right style="thin">
        <color theme="1" tint="0.499984740745262"/>
      </right>
      <top style="thin">
        <color theme="1" tint="0.499984740745262"/>
      </top>
      <bottom/>
      <diagonal/>
    </border>
    <border>
      <left style="thin">
        <color theme="1" tint="0.499984740745262"/>
      </left>
      <right style="thin">
        <color theme="1" tint="0.499984740745262"/>
      </right>
      <top/>
      <bottom style="thin">
        <color theme="1" tint="0.499984740745262"/>
      </bottom>
      <diagonal/>
    </border>
    <border>
      <left/>
      <right style="thin">
        <color theme="1" tint="0.499984740745262"/>
      </right>
      <top/>
      <bottom style="thin">
        <color theme="1" tint="0.499984740745262"/>
      </bottom>
      <diagonal/>
    </border>
    <border>
      <left/>
      <right style="thin">
        <color indexed="64"/>
      </right>
      <top style="medium">
        <color indexed="64"/>
      </top>
      <bottom style="thin">
        <color indexed="64"/>
      </bottom>
      <diagonal/>
    </border>
    <border>
      <left/>
      <right style="thin">
        <color indexed="64"/>
      </right>
      <top style="thin">
        <color indexed="64"/>
      </top>
      <bottom style="medium">
        <color indexed="64"/>
      </bottom>
      <diagonal/>
    </border>
    <border>
      <left style="thin">
        <color indexed="64"/>
      </left>
      <right style="medium">
        <color indexed="64"/>
      </right>
      <top style="thin">
        <color indexed="64"/>
      </top>
      <bottom/>
      <diagonal/>
    </border>
    <border>
      <left style="medium">
        <color indexed="64"/>
      </left>
      <right style="thin">
        <color theme="1" tint="0.499984740745262"/>
      </right>
      <top style="medium">
        <color indexed="64"/>
      </top>
      <bottom style="thin">
        <color theme="1" tint="0.499984740745262"/>
      </bottom>
      <diagonal/>
    </border>
    <border>
      <left style="thin">
        <color theme="1" tint="0.499984740745262"/>
      </left>
      <right style="thin">
        <color theme="1" tint="0.499984740745262"/>
      </right>
      <top style="medium">
        <color indexed="64"/>
      </top>
      <bottom style="thin">
        <color theme="1" tint="0.499984740745262"/>
      </bottom>
      <diagonal/>
    </border>
    <border>
      <left style="thin">
        <color theme="1" tint="0.499984740745262"/>
      </left>
      <right style="medium">
        <color indexed="64"/>
      </right>
      <top style="medium">
        <color indexed="64"/>
      </top>
      <bottom style="thin">
        <color theme="1" tint="0.499984740745262"/>
      </bottom>
      <diagonal/>
    </border>
    <border>
      <left style="medium">
        <color indexed="64"/>
      </left>
      <right style="thin">
        <color theme="1" tint="0.499984740745262"/>
      </right>
      <top style="thin">
        <color theme="1" tint="0.499984740745262"/>
      </top>
      <bottom style="thin">
        <color theme="1" tint="0.499984740745262"/>
      </bottom>
      <diagonal/>
    </border>
    <border>
      <left style="thin">
        <color theme="1" tint="0.499984740745262"/>
      </left>
      <right style="medium">
        <color indexed="64"/>
      </right>
      <top style="thin">
        <color theme="1" tint="0.499984740745262"/>
      </top>
      <bottom style="thin">
        <color theme="1" tint="0.499984740745262"/>
      </bottom>
      <diagonal/>
    </border>
    <border>
      <left style="medium">
        <color indexed="64"/>
      </left>
      <right style="thin">
        <color theme="1" tint="0.499984740745262"/>
      </right>
      <top style="thin">
        <color theme="1" tint="0.499984740745262"/>
      </top>
      <bottom/>
      <diagonal/>
    </border>
    <border>
      <left style="thin">
        <color theme="1" tint="0.499984740745262"/>
      </left>
      <right style="medium">
        <color indexed="64"/>
      </right>
      <top style="thin">
        <color theme="1" tint="0.499984740745262"/>
      </top>
      <bottom/>
      <diagonal/>
    </border>
    <border>
      <left style="medium">
        <color indexed="64"/>
      </left>
      <right style="thin">
        <color theme="1" tint="0.499984740745262"/>
      </right>
      <top/>
      <bottom style="thin">
        <color theme="1" tint="0.499984740745262"/>
      </bottom>
      <diagonal/>
    </border>
    <border>
      <left style="thin">
        <color theme="1" tint="0.499984740745262"/>
      </left>
      <right style="medium">
        <color indexed="64"/>
      </right>
      <top/>
      <bottom style="thin">
        <color theme="1" tint="0.499984740745262"/>
      </bottom>
      <diagonal/>
    </border>
    <border>
      <left style="medium">
        <color indexed="64"/>
      </left>
      <right style="thin">
        <color theme="1" tint="0.499984740745262"/>
      </right>
      <top style="thin">
        <color theme="1" tint="0.499984740745262"/>
      </top>
      <bottom style="medium">
        <color indexed="64"/>
      </bottom>
      <diagonal/>
    </border>
    <border>
      <left style="thin">
        <color theme="1" tint="0.499984740745262"/>
      </left>
      <right style="thin">
        <color theme="1" tint="0.499984740745262"/>
      </right>
      <top style="thin">
        <color theme="1" tint="0.499984740745262"/>
      </top>
      <bottom style="medium">
        <color indexed="64"/>
      </bottom>
      <diagonal/>
    </border>
    <border>
      <left style="thin">
        <color theme="1" tint="0.499984740745262"/>
      </left>
      <right style="medium">
        <color indexed="64"/>
      </right>
      <top style="thin">
        <color theme="1" tint="0.499984740745262"/>
      </top>
      <bottom style="medium">
        <color indexed="64"/>
      </bottom>
      <diagonal/>
    </border>
    <border>
      <left/>
      <right style="thin">
        <color theme="1" tint="0.499984740745262"/>
      </right>
      <top style="medium">
        <color indexed="64"/>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right style="thin">
        <color theme="1" tint="0.499984740745262"/>
      </right>
      <top style="thin">
        <color theme="1" tint="0.499984740745262"/>
      </top>
      <bottom/>
      <diagonal/>
    </border>
    <border>
      <left/>
      <right style="thin">
        <color theme="1" tint="0.499984740745262"/>
      </right>
      <top style="thin">
        <color theme="1" tint="0.499984740745262"/>
      </top>
      <bottom style="medium">
        <color indexed="64"/>
      </bottom>
      <diagonal/>
    </border>
    <border>
      <left style="thin">
        <color theme="1"/>
      </left>
      <right style="thin">
        <color theme="1"/>
      </right>
      <top style="thin">
        <color theme="1"/>
      </top>
      <bottom style="thin">
        <color theme="1"/>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indexed="64"/>
      </left>
      <right style="thin">
        <color indexed="64"/>
      </right>
      <top style="medium">
        <color theme="1"/>
      </top>
      <bottom style="thin">
        <color indexed="64"/>
      </bottom>
      <diagonal/>
    </border>
    <border>
      <left style="thin">
        <color indexed="64"/>
      </left>
      <right style="medium">
        <color theme="1"/>
      </right>
      <top style="medium">
        <color theme="1"/>
      </top>
      <bottom style="thin">
        <color indexed="64"/>
      </bottom>
      <diagonal/>
    </border>
    <border>
      <left style="thin">
        <color indexed="64"/>
      </left>
      <right style="medium">
        <color theme="1"/>
      </right>
      <top style="thin">
        <color indexed="64"/>
      </top>
      <bottom style="thin">
        <color indexed="64"/>
      </bottom>
      <diagonal/>
    </border>
    <border>
      <left style="thin">
        <color indexed="64"/>
      </left>
      <right style="thin">
        <color indexed="64"/>
      </right>
      <top style="thin">
        <color indexed="64"/>
      </top>
      <bottom style="medium">
        <color theme="1"/>
      </bottom>
      <diagonal/>
    </border>
    <border>
      <left style="thin">
        <color indexed="64"/>
      </left>
      <right style="medium">
        <color theme="1"/>
      </right>
      <top style="thin">
        <color indexed="64"/>
      </top>
      <bottom style="medium">
        <color theme="1"/>
      </bottom>
      <diagonal/>
    </border>
    <border>
      <left style="thin">
        <color theme="1"/>
      </left>
      <right/>
      <top style="thin">
        <color theme="1"/>
      </top>
      <bottom style="thin">
        <color theme="1"/>
      </bottom>
      <diagonal/>
    </border>
    <border>
      <left style="thin">
        <color theme="1"/>
      </left>
      <right/>
      <top style="thin">
        <color theme="1"/>
      </top>
      <bottom/>
      <diagonal/>
    </border>
    <border>
      <left/>
      <right/>
      <top style="thin">
        <color theme="1"/>
      </top>
      <bottom/>
      <diagonal/>
    </border>
    <border>
      <left style="medium">
        <color theme="1"/>
      </left>
      <right/>
      <top style="medium">
        <color theme="1"/>
      </top>
      <bottom/>
      <diagonal/>
    </border>
    <border>
      <left/>
      <right/>
      <top style="medium">
        <color theme="1"/>
      </top>
      <bottom/>
      <diagonal/>
    </border>
    <border>
      <left/>
      <right style="medium">
        <color theme="1"/>
      </right>
      <top style="medium">
        <color theme="1"/>
      </top>
      <bottom/>
      <diagonal/>
    </border>
    <border>
      <left style="medium">
        <color theme="1"/>
      </left>
      <right/>
      <top/>
      <bottom/>
      <diagonal/>
    </border>
    <border>
      <left/>
      <right style="medium">
        <color theme="1"/>
      </right>
      <top/>
      <bottom/>
      <diagonal/>
    </border>
    <border>
      <left style="medium">
        <color theme="1"/>
      </left>
      <right/>
      <top/>
      <bottom style="medium">
        <color theme="1"/>
      </bottom>
      <diagonal/>
    </border>
    <border>
      <left/>
      <right/>
      <top/>
      <bottom style="medium">
        <color theme="1"/>
      </bottom>
      <diagonal/>
    </border>
    <border>
      <left/>
      <right style="medium">
        <color theme="1"/>
      </right>
      <top/>
      <bottom style="medium">
        <color theme="1"/>
      </bottom>
      <diagonal/>
    </border>
    <border>
      <left/>
      <right style="thin">
        <color theme="1"/>
      </right>
      <top style="thin">
        <color theme="1"/>
      </top>
      <bottom style="thin">
        <color theme="1"/>
      </bottom>
      <diagonal/>
    </border>
    <border>
      <left style="thin">
        <color theme="1"/>
      </left>
      <right/>
      <top/>
      <bottom/>
      <diagonal/>
    </border>
    <border>
      <left/>
      <right style="thin">
        <color theme="1"/>
      </right>
      <top/>
      <bottom/>
      <diagonal/>
    </border>
    <border>
      <left/>
      <right style="thin">
        <color theme="1"/>
      </right>
      <top/>
      <bottom style="thin">
        <color theme="1"/>
      </bottom>
      <diagonal/>
    </border>
    <border>
      <left/>
      <right/>
      <top/>
      <bottom style="thin">
        <color theme="1"/>
      </bottom>
      <diagonal/>
    </border>
    <border>
      <left style="thin">
        <color theme="1"/>
      </left>
      <right/>
      <top/>
      <bottom style="thin">
        <color theme="1"/>
      </bottom>
      <diagonal/>
    </border>
    <border>
      <left/>
      <right style="thin">
        <color theme="1"/>
      </right>
      <top style="thin">
        <color theme="1"/>
      </top>
      <bottom/>
      <diagonal/>
    </border>
    <border>
      <left/>
      <right/>
      <top style="thin">
        <color theme="1"/>
      </top>
      <bottom style="thin">
        <color theme="1"/>
      </bottom>
      <diagonal/>
    </border>
    <border>
      <left style="thin">
        <color theme="1"/>
      </left>
      <right/>
      <top style="thin">
        <color indexed="64"/>
      </top>
      <bottom style="thin">
        <color theme="1"/>
      </bottom>
      <diagonal/>
    </border>
    <border>
      <left/>
      <right style="thin">
        <color theme="1"/>
      </right>
      <top style="thin">
        <color indexed="64"/>
      </top>
      <bottom style="thin">
        <color theme="1"/>
      </bottom>
      <diagonal/>
    </border>
    <border>
      <left/>
      <right/>
      <top style="thin">
        <color indexed="64"/>
      </top>
      <bottom style="thin">
        <color theme="1"/>
      </bottom>
      <diagonal/>
    </border>
    <border>
      <left/>
      <right style="thin">
        <color indexed="64"/>
      </right>
      <top style="thin">
        <color theme="1"/>
      </top>
      <bottom style="thin">
        <color theme="1"/>
      </bottom>
      <diagonal/>
    </border>
    <border>
      <left style="medium">
        <color indexed="64"/>
      </left>
      <right style="thin">
        <color indexed="64"/>
      </right>
      <top/>
      <bottom/>
      <diagonal/>
    </border>
    <border>
      <left style="medium">
        <color indexed="64"/>
      </left>
      <right style="thin">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theme="1"/>
      </left>
      <right style="medium">
        <color indexed="64"/>
      </right>
      <top style="medium">
        <color indexed="64"/>
      </top>
      <bottom/>
      <diagonal/>
    </border>
    <border>
      <left style="medium">
        <color theme="1"/>
      </left>
      <right style="medium">
        <color indexed="64"/>
      </right>
      <top/>
      <bottom/>
      <diagonal/>
    </border>
    <border>
      <left style="medium">
        <color theme="1"/>
      </left>
      <right style="medium">
        <color indexed="64"/>
      </right>
      <top/>
      <bottom style="medium">
        <color indexed="64"/>
      </bottom>
      <diagonal/>
    </border>
    <border>
      <left style="thin">
        <color indexed="64"/>
      </left>
      <right style="thin">
        <color indexed="64"/>
      </right>
      <top style="medium">
        <color rgb="FF000000"/>
      </top>
      <bottom style="thin">
        <color rgb="FF000000"/>
      </bottom>
      <diagonal/>
    </border>
    <border>
      <left style="thin">
        <color indexed="64"/>
      </left>
      <right/>
      <top style="medium">
        <color rgb="FF000000"/>
      </top>
      <bottom style="thin">
        <color rgb="FF000000"/>
      </bottom>
      <diagonal/>
    </border>
    <border>
      <left style="thin">
        <color theme="1" tint="0.34998626667073579"/>
      </left>
      <right style="thin">
        <color theme="1" tint="0.34998626667073579"/>
      </right>
      <top style="thin">
        <color theme="1" tint="0.34998626667073579"/>
      </top>
      <bottom style="thin">
        <color theme="1" tint="0.34998626667073579"/>
      </bottom>
      <diagonal/>
    </border>
    <border>
      <left style="thin">
        <color theme="1" tint="0.34998626667073579"/>
      </left>
      <right/>
      <top/>
      <bottom/>
      <diagonal/>
    </border>
    <border>
      <left style="thin">
        <color theme="1" tint="0.34998626667073579"/>
      </left>
      <right style="thin">
        <color theme="1" tint="0.34998626667073579"/>
      </right>
      <top style="thin">
        <color theme="1" tint="0.34998626667073579"/>
      </top>
      <bottom/>
      <diagonal/>
    </border>
    <border>
      <left style="thin">
        <color theme="1" tint="0.34998626667073579"/>
      </left>
      <right/>
      <top style="thin">
        <color theme="1" tint="0.34998626667073579"/>
      </top>
      <bottom style="thin">
        <color theme="1" tint="0.34998626667073579"/>
      </bottom>
      <diagonal/>
    </border>
    <border>
      <left/>
      <right/>
      <top/>
      <bottom style="thin">
        <color theme="1" tint="0.34998626667073579"/>
      </bottom>
      <diagonal/>
    </border>
    <border>
      <left/>
      <right style="thin">
        <color theme="1" tint="0.34998626667073579"/>
      </right>
      <top style="thin">
        <color theme="1" tint="0.34998626667073579"/>
      </top>
      <bottom style="thin">
        <color theme="1" tint="0.34998626667073579"/>
      </bottom>
      <diagonal/>
    </border>
    <border>
      <left style="thin">
        <color theme="1" tint="0.34998626667073579"/>
      </left>
      <right/>
      <top style="thin">
        <color theme="1" tint="0.34998626667073579"/>
      </top>
      <bottom/>
      <diagonal/>
    </border>
    <border>
      <left/>
      <right style="thin">
        <color theme="1" tint="0.34998626667073579"/>
      </right>
      <top style="thin">
        <color theme="1" tint="0.34998626667073579"/>
      </top>
      <bottom/>
      <diagonal/>
    </border>
    <border>
      <left/>
      <right style="thin">
        <color theme="1" tint="0.34998626667073579"/>
      </right>
      <top/>
      <bottom/>
      <diagonal/>
    </border>
    <border>
      <left/>
      <right/>
      <top style="thin">
        <color theme="1" tint="0.34998626667073579"/>
      </top>
      <bottom/>
      <diagonal/>
    </border>
    <border>
      <left style="thin">
        <color rgb="FF000000"/>
      </left>
      <right style="thin">
        <color rgb="FF000000"/>
      </right>
      <top style="thin">
        <color rgb="FF000000"/>
      </top>
      <bottom style="thin">
        <color rgb="FF000000"/>
      </bottom>
      <diagonal/>
    </border>
    <border>
      <left style="medium">
        <color theme="1" tint="0.34998626667073579"/>
      </left>
      <right style="thin">
        <color theme="1" tint="0.34998626667073579"/>
      </right>
      <top style="medium">
        <color theme="1" tint="0.34998626667073579"/>
      </top>
      <bottom style="thin">
        <color theme="1" tint="0.34998626667073579"/>
      </bottom>
      <diagonal/>
    </border>
    <border>
      <left style="thin">
        <color theme="1" tint="0.34998626667073579"/>
      </left>
      <right style="thin">
        <color theme="1" tint="0.34998626667073579"/>
      </right>
      <top style="medium">
        <color theme="1" tint="0.34998626667073579"/>
      </top>
      <bottom style="thin">
        <color theme="1" tint="0.34998626667073579"/>
      </bottom>
      <diagonal/>
    </border>
    <border>
      <left style="thin">
        <color theme="1" tint="0.34998626667073579"/>
      </left>
      <right style="medium">
        <color theme="1" tint="0.34998626667073579"/>
      </right>
      <top style="medium">
        <color theme="1" tint="0.34998626667073579"/>
      </top>
      <bottom style="thin">
        <color theme="1" tint="0.34998626667073579"/>
      </bottom>
      <diagonal/>
    </border>
    <border>
      <left style="medium">
        <color theme="1" tint="0.34998626667073579"/>
      </left>
      <right style="thin">
        <color theme="1" tint="0.34998626667073579"/>
      </right>
      <top style="thin">
        <color theme="1" tint="0.34998626667073579"/>
      </top>
      <bottom style="thin">
        <color theme="1" tint="0.34998626667073579"/>
      </bottom>
      <diagonal/>
    </border>
    <border>
      <left style="thin">
        <color theme="1" tint="0.34998626667073579"/>
      </left>
      <right style="medium">
        <color theme="1" tint="0.34998626667073579"/>
      </right>
      <top style="thin">
        <color theme="1" tint="0.34998626667073579"/>
      </top>
      <bottom style="thin">
        <color theme="1" tint="0.34998626667073579"/>
      </bottom>
      <diagonal/>
    </border>
    <border>
      <left style="medium">
        <color theme="1" tint="0.34998626667073579"/>
      </left>
      <right style="thin">
        <color theme="1" tint="0.34998626667073579"/>
      </right>
      <top style="thin">
        <color theme="1" tint="0.34998626667073579"/>
      </top>
      <bottom style="medium">
        <color theme="1" tint="0.34998626667073579"/>
      </bottom>
      <diagonal/>
    </border>
    <border>
      <left style="thin">
        <color theme="1" tint="0.34998626667073579"/>
      </left>
      <right style="thin">
        <color theme="1" tint="0.34998626667073579"/>
      </right>
      <top style="thin">
        <color theme="1" tint="0.34998626667073579"/>
      </top>
      <bottom style="medium">
        <color theme="1" tint="0.34998626667073579"/>
      </bottom>
      <diagonal/>
    </border>
    <border>
      <left style="thin">
        <color theme="1" tint="0.34998626667073579"/>
      </left>
      <right style="medium">
        <color theme="1" tint="0.34998626667073579"/>
      </right>
      <top style="thin">
        <color theme="1" tint="0.34998626667073579"/>
      </top>
      <bottom style="medium">
        <color theme="1" tint="0.34998626667073579"/>
      </bottom>
      <diagonal/>
    </border>
    <border>
      <left style="medium">
        <color theme="1" tint="0.34998626667073579"/>
      </left>
      <right style="thin">
        <color theme="1" tint="0.34998626667073579"/>
      </right>
      <top/>
      <bottom style="thin">
        <color theme="1" tint="0.34998626667073579"/>
      </bottom>
      <diagonal/>
    </border>
    <border>
      <left style="thin">
        <color theme="1" tint="0.34998626667073579"/>
      </left>
      <right style="thin">
        <color theme="1" tint="0.34998626667073579"/>
      </right>
      <top/>
      <bottom style="thin">
        <color theme="1" tint="0.34998626667073579"/>
      </bottom>
      <diagonal/>
    </border>
    <border>
      <left style="thin">
        <color theme="1" tint="0.34998626667073579"/>
      </left>
      <right style="medium">
        <color theme="1" tint="0.34998626667073579"/>
      </right>
      <top/>
      <bottom style="thin">
        <color theme="1" tint="0.34998626667073579"/>
      </bottom>
      <diagonal/>
    </border>
    <border>
      <left/>
      <right style="thin">
        <color theme="1" tint="0.34998626667073579"/>
      </right>
      <top style="medium">
        <color theme="1" tint="0.34998626667073579"/>
      </top>
      <bottom style="thin">
        <color theme="1" tint="0.34998626667073579"/>
      </bottom>
      <diagonal/>
    </border>
    <border>
      <left/>
      <right style="thin">
        <color theme="1" tint="0.34998626667073579"/>
      </right>
      <top style="thin">
        <color theme="1" tint="0.34998626667073579"/>
      </top>
      <bottom style="medium">
        <color theme="1" tint="0.34998626667073579"/>
      </bottom>
      <diagonal/>
    </border>
    <border>
      <left/>
      <right style="thin">
        <color theme="1" tint="0.34998626667073579"/>
      </right>
      <top/>
      <bottom style="thin">
        <color theme="1" tint="0.34998626667073579"/>
      </bottom>
      <diagonal/>
    </border>
    <border>
      <left style="thin">
        <color theme="1" tint="0.34998626667073579"/>
      </left>
      <right style="medium">
        <color theme="1" tint="0.34998626667073579"/>
      </right>
      <top style="thin">
        <color theme="1" tint="0.34998626667073579"/>
      </top>
      <bottom/>
      <diagonal/>
    </border>
    <border>
      <left style="thin">
        <color theme="1" tint="0.34998626667073579"/>
      </left>
      <right/>
      <top style="medium">
        <color theme="1" tint="0.34998626667073579"/>
      </top>
      <bottom/>
      <diagonal/>
    </border>
    <border>
      <left/>
      <right/>
      <top style="medium">
        <color theme="1" tint="0.34998626667073579"/>
      </top>
      <bottom/>
      <diagonal/>
    </border>
    <border>
      <left style="medium">
        <color theme="1" tint="0.34998626667073579"/>
      </left>
      <right style="thin">
        <color theme="1" tint="0.34998626667073579"/>
      </right>
      <top style="thin">
        <color theme="1" tint="0.34998626667073579"/>
      </top>
      <bottom/>
      <diagonal/>
    </border>
    <border>
      <left/>
      <right style="thin">
        <color theme="1" tint="0.34998626667073579"/>
      </right>
      <top style="medium">
        <color theme="1" tint="0.34998626667073579"/>
      </top>
      <bottom/>
      <diagonal/>
    </border>
    <border>
      <left/>
      <right style="thin">
        <color rgb="FF000000"/>
      </right>
      <top/>
      <bottom style="thin">
        <color rgb="FF000000"/>
      </bottom>
      <diagonal/>
    </border>
    <border>
      <left style="thin">
        <color rgb="FF000000"/>
      </left>
      <right style="medium">
        <color indexed="64"/>
      </right>
      <top/>
      <bottom style="thin">
        <color rgb="FF000000"/>
      </bottom>
      <diagonal/>
    </border>
    <border>
      <left/>
      <right style="thin">
        <color rgb="FF000000"/>
      </right>
      <top style="thin">
        <color rgb="FF000000"/>
      </top>
      <bottom style="thin">
        <color rgb="FF000000"/>
      </bottom>
      <diagonal/>
    </border>
    <border>
      <left style="thin">
        <color rgb="FF000000"/>
      </left>
      <right style="medium">
        <color indexed="64"/>
      </right>
      <top style="thin">
        <color rgb="FF000000"/>
      </top>
      <bottom style="thin">
        <color rgb="FF000000"/>
      </bottom>
      <diagonal/>
    </border>
    <border>
      <left style="thin">
        <color indexed="64"/>
      </left>
      <right/>
      <top style="medium">
        <color theme="1" tint="0.34998626667073579"/>
      </top>
      <bottom/>
      <diagonal/>
    </border>
    <border>
      <left style="thin">
        <color indexed="64"/>
      </left>
      <right/>
      <top/>
      <bottom style="medium">
        <color theme="1" tint="0.34998626667073579"/>
      </bottom>
      <diagonal/>
    </border>
    <border>
      <left/>
      <right style="thin">
        <color rgb="FF000000"/>
      </right>
      <top style="thin">
        <color rgb="FF000000"/>
      </top>
      <bottom/>
      <diagonal/>
    </border>
    <border>
      <left style="thin">
        <color rgb="FF000000"/>
      </left>
      <right style="medium">
        <color indexed="64"/>
      </right>
      <top style="thin">
        <color rgb="FF000000"/>
      </top>
      <bottom/>
      <diagonal/>
    </border>
    <border>
      <left/>
      <right style="thin">
        <color rgb="FF000000"/>
      </right>
      <top style="medium">
        <color theme="1" tint="0.34998626667073579"/>
      </top>
      <bottom style="thin">
        <color rgb="FF000000"/>
      </bottom>
      <diagonal/>
    </border>
    <border>
      <left style="thin">
        <color indexed="64"/>
      </left>
      <right style="thin">
        <color indexed="64"/>
      </right>
      <top style="medium">
        <color theme="1" tint="0.34998626667073579"/>
      </top>
      <bottom style="thin">
        <color indexed="64"/>
      </bottom>
      <diagonal/>
    </border>
    <border>
      <left style="thin">
        <color indexed="64"/>
      </left>
      <right style="medium">
        <color theme="1" tint="0.34998626667073579"/>
      </right>
      <top style="medium">
        <color theme="1" tint="0.34998626667073579"/>
      </top>
      <bottom style="thin">
        <color indexed="64"/>
      </bottom>
      <diagonal/>
    </border>
    <border>
      <left style="thin">
        <color indexed="64"/>
      </left>
      <right style="medium">
        <color theme="1" tint="0.34998626667073579"/>
      </right>
      <top style="thin">
        <color indexed="64"/>
      </top>
      <bottom style="thin">
        <color indexed="64"/>
      </bottom>
      <diagonal/>
    </border>
    <border>
      <left style="thin">
        <color indexed="64"/>
      </left>
      <right style="medium">
        <color theme="1" tint="0.34998626667073579"/>
      </right>
      <top style="thin">
        <color indexed="64"/>
      </top>
      <bottom/>
      <diagonal/>
    </border>
    <border>
      <left style="medium">
        <color theme="1" tint="0.34998626667073579"/>
      </left>
      <right style="thin">
        <color rgb="FF000000"/>
      </right>
      <top style="medium">
        <color theme="1" tint="0.34998626667073579"/>
      </top>
      <bottom style="thin">
        <color rgb="FF000000"/>
      </bottom>
      <diagonal/>
    </border>
    <border>
      <left style="medium">
        <color theme="1" tint="0.34998626667073579"/>
      </left>
      <right style="thin">
        <color rgb="FF000000"/>
      </right>
      <top style="thin">
        <color rgb="FF000000"/>
      </top>
      <bottom style="thin">
        <color rgb="FF000000"/>
      </bottom>
      <diagonal/>
    </border>
    <border>
      <left style="medium">
        <color theme="1" tint="0.34998626667073579"/>
      </left>
      <right style="thin">
        <color rgb="FF000000"/>
      </right>
      <top style="thin">
        <color rgb="FF000000"/>
      </top>
      <bottom style="medium">
        <color theme="1" tint="0.34998626667073579"/>
      </bottom>
      <diagonal/>
    </border>
    <border>
      <left style="thin">
        <color indexed="64"/>
      </left>
      <right style="medium">
        <color theme="1" tint="0.34998626667073579"/>
      </right>
      <top style="medium">
        <color theme="1" tint="0.34998626667073579"/>
      </top>
      <bottom/>
      <diagonal/>
    </border>
    <border>
      <left style="medium">
        <color theme="1" tint="0.34998626667073579"/>
      </left>
      <right style="thin">
        <color rgb="FF000000"/>
      </right>
      <top style="thin">
        <color rgb="FF000000"/>
      </top>
      <bottom/>
      <diagonal/>
    </border>
    <border>
      <left style="thin">
        <color indexed="64"/>
      </left>
      <right style="thin">
        <color indexed="64"/>
      </right>
      <top style="thin">
        <color indexed="64"/>
      </top>
      <bottom style="thin">
        <color rgb="FF000000"/>
      </bottom>
      <diagonal/>
    </border>
    <border>
      <left style="medium">
        <color indexed="64"/>
      </left>
      <right style="thin">
        <color indexed="64"/>
      </right>
      <top style="thin">
        <color indexed="64"/>
      </top>
      <bottom/>
      <diagonal/>
    </border>
    <border>
      <left style="medium">
        <color indexed="64"/>
      </left>
      <right style="thin">
        <color theme="1" tint="0.34998626667073579"/>
      </right>
      <top style="medium">
        <color indexed="64"/>
      </top>
      <bottom/>
      <diagonal/>
    </border>
    <border>
      <left style="thin">
        <color theme="1" tint="0.34998626667073579"/>
      </left>
      <right style="thin">
        <color theme="1" tint="0.34998626667073579"/>
      </right>
      <top style="medium">
        <color indexed="64"/>
      </top>
      <bottom style="thin">
        <color theme="1" tint="0.34998626667073579"/>
      </bottom>
      <diagonal/>
    </border>
    <border>
      <left style="thin">
        <color theme="1" tint="0.34998626667073579"/>
      </left>
      <right style="medium">
        <color theme="1" tint="0.34998626667073579"/>
      </right>
      <top style="medium">
        <color indexed="64"/>
      </top>
      <bottom style="thin">
        <color theme="1" tint="0.34998626667073579"/>
      </bottom>
      <diagonal/>
    </border>
    <border>
      <left/>
      <right style="thin">
        <color theme="1" tint="0.34998626667073579"/>
      </right>
      <top style="medium">
        <color indexed="64"/>
      </top>
      <bottom style="thin">
        <color theme="1" tint="0.34998626667073579"/>
      </bottom>
      <diagonal/>
    </border>
    <border>
      <left style="thin">
        <color theme="1" tint="0.34998626667073579"/>
      </left>
      <right style="medium">
        <color indexed="64"/>
      </right>
      <top style="medium">
        <color indexed="64"/>
      </top>
      <bottom style="thin">
        <color theme="1" tint="0.34998626667073579"/>
      </bottom>
      <diagonal/>
    </border>
    <border>
      <left style="medium">
        <color indexed="64"/>
      </left>
      <right style="thin">
        <color theme="1" tint="0.34998626667073579"/>
      </right>
      <top/>
      <bottom/>
      <diagonal/>
    </border>
    <border>
      <left style="thin">
        <color theme="1" tint="0.34998626667073579"/>
      </left>
      <right style="medium">
        <color indexed="64"/>
      </right>
      <top style="thin">
        <color theme="1" tint="0.34998626667073579"/>
      </top>
      <bottom style="thin">
        <color theme="1" tint="0.34998626667073579"/>
      </bottom>
      <diagonal/>
    </border>
    <border>
      <left style="medium">
        <color indexed="64"/>
      </left>
      <right style="thin">
        <color theme="1" tint="0.34998626667073579"/>
      </right>
      <top/>
      <bottom style="medium">
        <color indexed="64"/>
      </bottom>
      <diagonal/>
    </border>
    <border>
      <left style="thin">
        <color theme="1" tint="0.34998626667073579"/>
      </left>
      <right style="thin">
        <color theme="1" tint="0.34998626667073579"/>
      </right>
      <top style="thin">
        <color theme="1" tint="0.34998626667073579"/>
      </top>
      <bottom style="medium">
        <color indexed="64"/>
      </bottom>
      <diagonal/>
    </border>
    <border>
      <left style="thin">
        <color theme="1" tint="0.34998626667073579"/>
      </left>
      <right style="medium">
        <color theme="1" tint="0.34998626667073579"/>
      </right>
      <top style="thin">
        <color theme="1" tint="0.34998626667073579"/>
      </top>
      <bottom style="medium">
        <color indexed="64"/>
      </bottom>
      <diagonal/>
    </border>
    <border>
      <left/>
      <right style="thin">
        <color theme="1" tint="0.34998626667073579"/>
      </right>
      <top style="thin">
        <color theme="1" tint="0.34998626667073579"/>
      </top>
      <bottom style="medium">
        <color indexed="64"/>
      </bottom>
      <diagonal/>
    </border>
    <border>
      <left style="thin">
        <color theme="1" tint="0.34998626667073579"/>
      </left>
      <right style="medium">
        <color indexed="64"/>
      </right>
      <top style="thin">
        <color theme="1" tint="0.34998626667073579"/>
      </top>
      <bottom style="medium">
        <color indexed="64"/>
      </bottom>
      <diagonal/>
    </border>
    <border>
      <left style="thin">
        <color theme="1" tint="0.34998626667073579"/>
      </left>
      <right/>
      <top/>
      <bottom style="thin">
        <color theme="1" tint="0.34998626667073579"/>
      </bottom>
      <diagonal/>
    </border>
    <border>
      <left style="thin">
        <color theme="1" tint="0.34998626667073579"/>
      </left>
      <right/>
      <top style="thin">
        <color theme="1" tint="0.34998626667073579"/>
      </top>
      <bottom style="medium">
        <color theme="1" tint="0.34998626667073579"/>
      </bottom>
      <diagonal/>
    </border>
    <border>
      <left style="medium">
        <color indexed="64"/>
      </left>
      <right style="thin">
        <color theme="1" tint="0.34998626667073579"/>
      </right>
      <top style="medium">
        <color indexed="64"/>
      </top>
      <bottom style="thin">
        <color theme="1" tint="0.34998626667073579"/>
      </bottom>
      <diagonal/>
    </border>
    <border>
      <left style="medium">
        <color indexed="64"/>
      </left>
      <right style="thin">
        <color theme="1" tint="0.34998626667073579"/>
      </right>
      <top style="thin">
        <color theme="1" tint="0.34998626667073579"/>
      </top>
      <bottom style="thin">
        <color theme="1" tint="0.34998626667073579"/>
      </bottom>
      <diagonal/>
    </border>
    <border>
      <left style="thin">
        <color theme="1" tint="0.34998626667073579"/>
      </left>
      <right style="medium">
        <color indexed="64"/>
      </right>
      <top/>
      <bottom style="thin">
        <color theme="1" tint="0.34998626667073579"/>
      </bottom>
      <diagonal/>
    </border>
    <border>
      <left style="medium">
        <color indexed="64"/>
      </left>
      <right style="thin">
        <color theme="1" tint="0.34998626667073579"/>
      </right>
      <top style="thin">
        <color theme="1" tint="0.34998626667073579"/>
      </top>
      <bottom style="medium">
        <color indexed="64"/>
      </bottom>
      <diagonal/>
    </border>
    <border>
      <left style="thin">
        <color theme="1" tint="0.34998626667073579"/>
      </left>
      <right style="thin">
        <color theme="1" tint="0.34998626667073579"/>
      </right>
      <top/>
      <bottom style="medium">
        <color indexed="64"/>
      </bottom>
      <diagonal/>
    </border>
    <border>
      <left style="thin">
        <color theme="1" tint="0.34998626667073579"/>
      </left>
      <right style="medium">
        <color indexed="64"/>
      </right>
      <top/>
      <bottom style="medium">
        <color indexed="64"/>
      </bottom>
      <diagonal/>
    </border>
    <border>
      <left/>
      <right/>
      <top style="medium">
        <color theme="1" tint="0.34998626667073579"/>
      </top>
      <bottom style="thin">
        <color rgb="FF000000"/>
      </bottom>
      <diagonal/>
    </border>
    <border>
      <left/>
      <right/>
      <top style="thin">
        <color rgb="FF000000"/>
      </top>
      <bottom style="thin">
        <color rgb="FF000000"/>
      </bottom>
      <diagonal/>
    </border>
    <border>
      <left/>
      <right/>
      <top style="thin">
        <color rgb="FF000000"/>
      </top>
      <bottom style="medium">
        <color theme="1" tint="0.34998626667073579"/>
      </bottom>
      <diagonal/>
    </border>
    <border>
      <left style="thin">
        <color indexed="64"/>
      </left>
      <right style="medium">
        <color indexed="64"/>
      </right>
      <top style="medium">
        <color indexed="64"/>
      </top>
      <bottom/>
      <diagonal/>
    </border>
    <border>
      <left style="thin">
        <color indexed="64"/>
      </left>
      <right style="medium">
        <color indexed="64"/>
      </right>
      <top/>
      <bottom/>
      <diagonal/>
    </border>
    <border>
      <left style="thin">
        <color indexed="64"/>
      </left>
      <right style="medium">
        <color indexed="64"/>
      </right>
      <top/>
      <bottom style="medium">
        <color indexed="64"/>
      </bottom>
      <diagonal/>
    </border>
    <border>
      <left style="medium">
        <color theme="1"/>
      </left>
      <right style="thin">
        <color theme="1" tint="0.499984740745262"/>
      </right>
      <top style="medium">
        <color theme="1"/>
      </top>
      <bottom style="thin">
        <color theme="1" tint="0.499984740745262"/>
      </bottom>
      <diagonal/>
    </border>
    <border>
      <left style="thin">
        <color theme="1" tint="0.499984740745262"/>
      </left>
      <right style="thin">
        <color theme="1" tint="0.499984740745262"/>
      </right>
      <top style="medium">
        <color theme="1"/>
      </top>
      <bottom style="thin">
        <color theme="1" tint="0.499984740745262"/>
      </bottom>
      <diagonal/>
    </border>
    <border>
      <left style="thin">
        <color theme="1" tint="0.499984740745262"/>
      </left>
      <right style="medium">
        <color theme="1"/>
      </right>
      <top style="medium">
        <color theme="1"/>
      </top>
      <bottom style="thin">
        <color theme="1" tint="0.499984740745262"/>
      </bottom>
      <diagonal/>
    </border>
    <border>
      <left style="medium">
        <color theme="1"/>
      </left>
      <right style="thin">
        <color theme="1" tint="0.499984740745262"/>
      </right>
      <top style="thin">
        <color theme="1" tint="0.499984740745262"/>
      </top>
      <bottom style="thin">
        <color theme="1" tint="0.499984740745262"/>
      </bottom>
      <diagonal/>
    </border>
    <border>
      <left style="thin">
        <color theme="1" tint="0.499984740745262"/>
      </left>
      <right style="medium">
        <color theme="1"/>
      </right>
      <top style="thin">
        <color theme="1" tint="0.499984740745262"/>
      </top>
      <bottom style="thin">
        <color theme="1" tint="0.499984740745262"/>
      </bottom>
      <diagonal/>
    </border>
    <border>
      <left style="medium">
        <color theme="1"/>
      </left>
      <right style="thin">
        <color theme="1" tint="0.499984740745262"/>
      </right>
      <top style="thin">
        <color theme="1" tint="0.499984740745262"/>
      </top>
      <bottom style="medium">
        <color theme="1"/>
      </bottom>
      <diagonal/>
    </border>
    <border>
      <left style="thin">
        <color theme="1" tint="0.499984740745262"/>
      </left>
      <right style="thin">
        <color theme="1" tint="0.499984740745262"/>
      </right>
      <top style="thin">
        <color theme="1" tint="0.499984740745262"/>
      </top>
      <bottom style="medium">
        <color theme="1"/>
      </bottom>
      <diagonal/>
    </border>
    <border>
      <left style="thin">
        <color theme="1" tint="0.499984740745262"/>
      </left>
      <right style="medium">
        <color theme="1"/>
      </right>
      <top style="thin">
        <color theme="1" tint="0.499984740745262"/>
      </top>
      <bottom style="medium">
        <color theme="1"/>
      </bottom>
      <diagonal/>
    </border>
    <border>
      <left style="thin">
        <color theme="1" tint="0.499984740745262"/>
      </left>
      <right style="thin">
        <color theme="1" tint="0.499984740745262"/>
      </right>
      <top/>
      <bottom style="medium">
        <color theme="1"/>
      </bottom>
      <diagonal/>
    </border>
    <border>
      <left style="thin">
        <color theme="1" tint="0.499984740745262"/>
      </left>
      <right style="thin">
        <color theme="1" tint="0.499984740745262"/>
      </right>
      <top style="medium">
        <color theme="1"/>
      </top>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style="thin">
        <color theme="1" tint="0.499984740745262"/>
      </right>
      <top style="medium">
        <color theme="1"/>
      </top>
      <bottom style="thin">
        <color theme="1" tint="0.499984740745262"/>
      </bottom>
      <diagonal/>
    </border>
    <border>
      <left/>
      <right style="thin">
        <color theme="1" tint="0.499984740745262"/>
      </right>
      <top style="thin">
        <color theme="1" tint="0.499984740745262"/>
      </top>
      <bottom style="medium">
        <color theme="1"/>
      </bottom>
      <diagonal/>
    </border>
    <border>
      <left style="thin">
        <color indexed="64"/>
      </left>
      <right style="thin">
        <color indexed="64"/>
      </right>
      <top/>
      <bottom style="thin">
        <color theme="1" tint="0.499984740745262"/>
      </bottom>
      <diagonal/>
    </border>
    <border>
      <left style="thin">
        <color indexed="64"/>
      </left>
      <right style="thin">
        <color indexed="64"/>
      </right>
      <top style="thin">
        <color theme="1" tint="0.499984740745262"/>
      </top>
      <bottom style="thin">
        <color theme="1" tint="0.499984740745262"/>
      </bottom>
      <diagonal/>
    </border>
    <border>
      <left style="thin">
        <color indexed="64"/>
      </left>
      <right style="thin">
        <color indexed="64"/>
      </right>
      <top style="thin">
        <color theme="1" tint="0.499984740745262"/>
      </top>
      <bottom/>
      <diagonal/>
    </border>
    <border>
      <left style="thin">
        <color indexed="64"/>
      </left>
      <right style="medium">
        <color theme="1"/>
      </right>
      <top style="medium">
        <color indexed="64"/>
      </top>
      <bottom/>
      <diagonal/>
    </border>
    <border>
      <left style="thin">
        <color indexed="64"/>
      </left>
      <right style="medium">
        <color theme="1"/>
      </right>
      <top/>
      <bottom/>
      <diagonal/>
    </border>
    <border>
      <left style="thin">
        <color indexed="64"/>
      </left>
      <right style="thin">
        <color indexed="64"/>
      </right>
      <top style="thin">
        <color theme="1" tint="0.499984740745262"/>
      </top>
      <bottom style="medium">
        <color theme="1" tint="0.34998626667073579"/>
      </bottom>
      <diagonal/>
    </border>
    <border>
      <left style="thin">
        <color indexed="64"/>
      </left>
      <right style="medium">
        <color theme="1"/>
      </right>
      <top/>
      <bottom style="medium">
        <color indexed="64"/>
      </bottom>
      <diagonal/>
    </border>
    <border>
      <left style="thin">
        <color indexed="64"/>
      </left>
      <right style="thin">
        <color indexed="64"/>
      </right>
      <top style="thin">
        <color theme="1" tint="0.499984740745262"/>
      </top>
      <bottom style="medium">
        <color indexed="64"/>
      </bottom>
      <diagonal/>
    </border>
    <border>
      <left style="thin">
        <color indexed="64"/>
      </left>
      <right style="thin">
        <color indexed="64"/>
      </right>
      <top style="medium">
        <color indexed="64"/>
      </top>
      <bottom style="thin">
        <color theme="1" tint="0.499984740745262"/>
      </bottom>
      <diagonal/>
    </border>
    <border>
      <left style="thin">
        <color theme="1" tint="0.34998626667073579"/>
      </left>
      <right style="thin">
        <color theme="1" tint="0.34998626667073579"/>
      </right>
      <top/>
      <bottom/>
      <diagonal/>
    </border>
    <border>
      <left style="thin">
        <color theme="1" tint="0.34998626667073579"/>
      </left>
      <right style="thin">
        <color theme="1" tint="0.34998626667073579"/>
      </right>
      <top/>
      <bottom style="medium">
        <color theme="1" tint="0.34998626667073579"/>
      </bottom>
      <diagonal/>
    </border>
    <border>
      <left style="thin">
        <color theme="1" tint="0.34998626667073579"/>
      </left>
      <right style="medium">
        <color indexed="64"/>
      </right>
      <top/>
      <bottom/>
      <diagonal/>
    </border>
    <border>
      <left style="thin">
        <color theme="1" tint="0.34998626667073579"/>
      </left>
      <right style="medium">
        <color indexed="64"/>
      </right>
      <top/>
      <bottom style="medium">
        <color theme="1" tint="0.34998626667073579"/>
      </bottom>
      <diagonal/>
    </border>
    <border>
      <left style="thin">
        <color theme="1" tint="0.34998626667073579"/>
      </left>
      <right style="medium">
        <color indexed="64"/>
      </right>
      <top style="medium">
        <color theme="1" tint="0.34998626667073579"/>
      </top>
      <bottom/>
      <diagonal/>
    </border>
    <border>
      <left style="thin">
        <color rgb="FF595959"/>
      </left>
      <right/>
      <top style="thin">
        <color rgb="FF595959"/>
      </top>
      <bottom style="thin">
        <color rgb="FF595959"/>
      </bottom>
      <diagonal/>
    </border>
    <border>
      <left/>
      <right style="thin">
        <color rgb="FF595959"/>
      </right>
      <top style="thin">
        <color rgb="FF595959"/>
      </top>
      <bottom style="thin">
        <color rgb="FF595959"/>
      </bottom>
      <diagonal/>
    </border>
    <border>
      <left style="thin">
        <color indexed="64"/>
      </left>
      <right/>
      <top style="medium">
        <color indexed="64"/>
      </top>
      <bottom/>
      <diagonal/>
    </border>
    <border>
      <left style="thin">
        <color theme="1" tint="0.34998626667073579"/>
      </left>
      <right style="medium">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style="thin">
        <color theme="1" tint="0.34998626667073579"/>
      </right>
      <top style="thin">
        <color theme="1" tint="0.34998626667073579"/>
      </top>
      <bottom/>
      <diagonal/>
    </border>
    <border>
      <left style="thin">
        <color theme="1" tint="0.34998626667073579"/>
      </left>
      <right style="medium">
        <color indexed="64"/>
      </right>
      <top style="thin">
        <color theme="1" tint="0.34998626667073579"/>
      </top>
      <bottom/>
      <diagonal/>
    </border>
    <border>
      <left style="thin">
        <color theme="1" tint="0.34998626667073579"/>
      </left>
      <right style="medium">
        <color indexed="64"/>
      </right>
      <top style="medium">
        <color theme="1" tint="0.34998626667073579"/>
      </top>
      <bottom style="thin">
        <color theme="1" tint="0.34998626667073579"/>
      </bottom>
      <diagonal/>
    </border>
    <border>
      <left style="medium">
        <color indexed="64"/>
      </left>
      <right style="thin">
        <color rgb="FF000000"/>
      </right>
      <top style="medium">
        <color indexed="64"/>
      </top>
      <bottom style="thin">
        <color rgb="FF000000"/>
      </bottom>
      <diagonal/>
    </border>
    <border>
      <left style="medium">
        <color indexed="64"/>
      </left>
      <right style="thin">
        <color rgb="FF000000"/>
      </right>
      <top style="thin">
        <color rgb="FF000000"/>
      </top>
      <bottom style="thin">
        <color rgb="FF000000"/>
      </bottom>
      <diagonal/>
    </border>
    <border>
      <left style="medium">
        <color indexed="64"/>
      </left>
      <right style="thin">
        <color rgb="FF000000"/>
      </right>
      <top style="thin">
        <color rgb="FF000000"/>
      </top>
      <bottom/>
      <diagonal/>
    </border>
    <border>
      <left style="medium">
        <color indexed="64"/>
      </left>
      <right/>
      <top style="medium">
        <color theme="1" tint="0.34998626667073579"/>
      </top>
      <bottom style="thin">
        <color rgb="FF000000"/>
      </bottom>
      <diagonal/>
    </border>
    <border>
      <left style="medium">
        <color indexed="64"/>
      </left>
      <right/>
      <top style="thin">
        <color rgb="FF000000"/>
      </top>
      <bottom style="thin">
        <color rgb="FF000000"/>
      </bottom>
      <diagonal/>
    </border>
    <border>
      <left style="medium">
        <color indexed="64"/>
      </left>
      <right/>
      <top style="thin">
        <color rgb="FF000000"/>
      </top>
      <bottom style="medium">
        <color indexed="64"/>
      </bottom>
      <diagonal/>
    </border>
    <border>
      <left style="medium">
        <color indexed="64"/>
      </left>
      <right style="thin">
        <color theme="1" tint="0.34998626667073579"/>
      </right>
      <top style="medium">
        <color theme="1" tint="0.34998626667073579"/>
      </top>
      <bottom style="thin">
        <color theme="1" tint="0.34998626667073579"/>
      </bottom>
      <diagonal/>
    </border>
    <border>
      <left style="medium">
        <color indexed="64"/>
      </left>
      <right style="thin">
        <color theme="1" tint="0.34998626667073579"/>
      </right>
      <top style="thin">
        <color theme="1" tint="0.34998626667073579"/>
      </top>
      <bottom style="medium">
        <color theme="1" tint="0.34998626667073579"/>
      </bottom>
      <diagonal/>
    </border>
    <border>
      <left style="thin">
        <color theme="1" tint="0.34998626667073579"/>
      </left>
      <right style="medium">
        <color indexed="64"/>
      </right>
      <top style="thin">
        <color theme="1" tint="0.34998626667073579"/>
      </top>
      <bottom style="medium">
        <color theme="1" tint="0.34998626667073579"/>
      </bottom>
      <diagonal/>
    </border>
    <border>
      <left style="thin">
        <color theme="1" tint="0.34998626667073579"/>
      </left>
      <right style="thin">
        <color theme="1" tint="0.34998626667073579"/>
      </right>
      <top style="medium">
        <color indexed="64"/>
      </top>
      <bottom/>
      <diagonal/>
    </border>
    <border>
      <left style="thin">
        <color theme="1" tint="0.34998626667073579"/>
      </left>
      <right style="thin">
        <color theme="1" tint="0.34998626667073579"/>
      </right>
      <top style="medium">
        <color indexed="64"/>
      </top>
      <bottom style="thin">
        <color indexed="64"/>
      </bottom>
      <diagonal/>
    </border>
    <border>
      <left style="thin">
        <color theme="1" tint="0.34998626667073579"/>
      </left>
      <right style="medium">
        <color indexed="64"/>
      </right>
      <top style="medium">
        <color indexed="64"/>
      </top>
      <bottom style="thin">
        <color indexed="64"/>
      </bottom>
      <diagonal/>
    </border>
    <border>
      <left style="thin">
        <color theme="1" tint="0.34998626667073579"/>
      </left>
      <right style="thin">
        <color theme="1" tint="0.34998626667073579"/>
      </right>
      <top style="thin">
        <color indexed="64"/>
      </top>
      <bottom style="thin">
        <color indexed="64"/>
      </bottom>
      <diagonal/>
    </border>
    <border>
      <left style="thin">
        <color theme="1" tint="0.34998626667073579"/>
      </left>
      <right style="medium">
        <color indexed="64"/>
      </right>
      <top style="thin">
        <color indexed="64"/>
      </top>
      <bottom style="thin">
        <color indexed="64"/>
      </bottom>
      <diagonal/>
    </border>
    <border>
      <left style="thin">
        <color theme="1" tint="0.34998626667073579"/>
      </left>
      <right style="thin">
        <color theme="1" tint="0.34998626667073579"/>
      </right>
      <top style="thin">
        <color indexed="64"/>
      </top>
      <bottom style="medium">
        <color indexed="64"/>
      </bottom>
      <diagonal/>
    </border>
    <border>
      <left style="thin">
        <color theme="1" tint="0.34998626667073579"/>
      </left>
      <right style="medium">
        <color indexed="64"/>
      </right>
      <top style="thin">
        <color indexed="64"/>
      </top>
      <bottom style="medium">
        <color indexed="64"/>
      </bottom>
      <diagonal/>
    </border>
    <border>
      <left style="medium">
        <color indexed="64"/>
      </left>
      <right style="thin">
        <color theme="1" tint="0.34998626667073579"/>
      </right>
      <top/>
      <bottom style="thin">
        <color theme="1" tint="0.34998626667073579"/>
      </bottom>
      <diagonal/>
    </border>
    <border>
      <left style="medium">
        <color indexed="64"/>
      </left>
      <right/>
      <top/>
      <bottom style="thin">
        <color indexed="64"/>
      </bottom>
      <diagonal/>
    </border>
    <border>
      <left style="thin">
        <color theme="1" tint="0.34998626667073579"/>
      </left>
      <right/>
      <top style="medium">
        <color theme="1" tint="0.34998626667073579"/>
      </top>
      <bottom style="thin">
        <color theme="1" tint="0.34998626667073579"/>
      </bottom>
      <diagonal/>
    </border>
    <border>
      <left style="thin">
        <color theme="1" tint="0.34998626667073579"/>
      </left>
      <right/>
      <top/>
      <bottom style="medium">
        <color theme="1" tint="0.34998626667073579"/>
      </bottom>
      <diagonal/>
    </border>
    <border>
      <left style="medium">
        <color indexed="64"/>
      </left>
      <right/>
      <top style="medium">
        <color indexed="64"/>
      </top>
      <bottom style="thin">
        <color theme="1" tint="0.34998626667073579"/>
      </bottom>
      <diagonal/>
    </border>
    <border>
      <left style="medium">
        <color indexed="64"/>
      </left>
      <right/>
      <top style="thin">
        <color theme="1" tint="0.34998626667073579"/>
      </top>
      <bottom style="thin">
        <color theme="1" tint="0.34998626667073579"/>
      </bottom>
      <diagonal/>
    </border>
    <border>
      <left style="medium">
        <color indexed="64"/>
      </left>
      <right/>
      <top style="thin">
        <color theme="1" tint="0.34998626667073579"/>
      </top>
      <bottom style="medium">
        <color indexed="64"/>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theme="1" tint="0.34998626667073579"/>
      </left>
      <right/>
      <top style="medium">
        <color indexed="64"/>
      </top>
      <bottom style="thin">
        <color theme="1" tint="0.34998626667073579"/>
      </bottom>
      <diagonal/>
    </border>
    <border>
      <left style="thin">
        <color theme="1" tint="0.34998626667073579"/>
      </left>
      <right/>
      <top style="thin">
        <color theme="1" tint="0.34998626667073579"/>
      </top>
      <bottom style="medium">
        <color indexed="64"/>
      </bottom>
      <diagonal/>
    </border>
    <border>
      <left style="thin">
        <color theme="1" tint="0.34998626667073579"/>
      </left>
      <right style="medium">
        <color theme="1" tint="0.34998626667073579"/>
      </right>
      <top style="medium">
        <color indexed="64"/>
      </top>
      <bottom/>
      <diagonal/>
    </border>
    <border>
      <left style="thin">
        <color theme="1" tint="0.34998626667073579"/>
      </left>
      <right style="medium">
        <color theme="1" tint="0.34998626667073579"/>
      </right>
      <top/>
      <bottom/>
      <diagonal/>
    </border>
    <border>
      <left style="thin">
        <color theme="1" tint="0.34998626667073579"/>
      </left>
      <right style="medium">
        <color theme="1" tint="0.34998626667073579"/>
      </right>
      <top/>
      <bottom style="medium">
        <color indexed="64"/>
      </bottom>
      <diagonal/>
    </border>
    <border>
      <left style="thin">
        <color indexed="64"/>
      </left>
      <right style="thin">
        <color indexed="64"/>
      </right>
      <top style="medium">
        <color indexed="64"/>
      </top>
      <bottom/>
      <diagonal/>
    </border>
  </borders>
  <cellStyleXfs count="13">
    <xf numFmtId="0" fontId="0" fillId="0" borderId="0"/>
    <xf numFmtId="0" fontId="2" fillId="0" borderId="0"/>
    <xf numFmtId="9" fontId="3" fillId="0" borderId="0" applyFont="0" applyFill="0" applyBorder="0" applyAlignment="0" applyProtection="0"/>
    <xf numFmtId="0" fontId="7" fillId="0" borderId="0" applyNumberFormat="0" applyFill="0" applyBorder="0" applyAlignment="0" applyProtection="0"/>
    <xf numFmtId="0" fontId="9" fillId="0" borderId="0"/>
    <xf numFmtId="0" fontId="12" fillId="0" borderId="0" applyNumberFormat="0" applyFill="0" applyBorder="0" applyAlignment="0" applyProtection="0"/>
    <xf numFmtId="43" fontId="3" fillId="0" borderId="0" applyFont="0" applyFill="0" applyBorder="0" applyAlignment="0" applyProtection="0"/>
    <xf numFmtId="0" fontId="3" fillId="0" borderId="0"/>
    <xf numFmtId="9" fontId="9" fillId="0" borderId="0" applyFont="0" applyFill="0" applyBorder="0" applyAlignment="0" applyProtection="0"/>
    <xf numFmtId="0" fontId="17" fillId="0" borderId="0"/>
    <xf numFmtId="0" fontId="19" fillId="0" borderId="0" applyNumberFormat="0" applyFill="0" applyBorder="0" applyAlignment="0" applyProtection="0"/>
    <xf numFmtId="0" fontId="9" fillId="0" borderId="0"/>
    <xf numFmtId="0" fontId="9" fillId="0" borderId="0"/>
  </cellStyleXfs>
  <cellXfs count="1222">
    <xf numFmtId="0" fontId="0" fillId="0" borderId="0" xfId="0"/>
    <xf numFmtId="0" fontId="0" fillId="0" borderId="0" xfId="0" applyAlignment="1">
      <alignment vertical="center"/>
    </xf>
    <xf numFmtId="0" fontId="0" fillId="0" borderId="2" xfId="0" applyBorder="1"/>
    <xf numFmtId="0" fontId="0" fillId="0" borderId="2" xfId="0" applyBorder="1" applyAlignment="1">
      <alignment vertical="center"/>
    </xf>
    <xf numFmtId="0" fontId="12" fillId="0" borderId="0" xfId="5"/>
    <xf numFmtId="0" fontId="4" fillId="0" borderId="0" xfId="0" applyFont="1"/>
    <xf numFmtId="0" fontId="0" fillId="0" borderId="2" xfId="0" applyBorder="1" applyAlignment="1">
      <alignment horizontal="center"/>
    </xf>
    <xf numFmtId="0" fontId="0" fillId="0" borderId="0" xfId="0" applyAlignment="1">
      <alignment horizontal="center" vertical="center"/>
    </xf>
    <xf numFmtId="0" fontId="15" fillId="0" borderId="0" xfId="0" applyFont="1"/>
    <xf numFmtId="0" fontId="15" fillId="0" borderId="0" xfId="0" applyFont="1" applyAlignment="1">
      <alignment horizontal="center" vertical="center"/>
    </xf>
    <xf numFmtId="0" fontId="9" fillId="0" borderId="0" xfId="0" applyFont="1"/>
    <xf numFmtId="0" fontId="11" fillId="0" borderId="0" xfId="0" applyFont="1"/>
    <xf numFmtId="0" fontId="9" fillId="0" borderId="0" xfId="0" applyFont="1" applyAlignment="1">
      <alignment horizontal="center" vertical="center"/>
    </xf>
    <xf numFmtId="0" fontId="9" fillId="0" borderId="0" xfId="0" applyFont="1" applyAlignment="1">
      <alignment vertical="center"/>
    </xf>
    <xf numFmtId="0" fontId="9" fillId="0" borderId="0" xfId="0" applyFont="1" applyAlignment="1">
      <alignment horizontal="center" vertical="center" wrapText="1"/>
    </xf>
    <xf numFmtId="0" fontId="9" fillId="0" borderId="0" xfId="0" applyFont="1" applyAlignment="1">
      <alignment wrapText="1"/>
    </xf>
    <xf numFmtId="0" fontId="18" fillId="0" borderId="0" xfId="0" applyFont="1" applyAlignment="1">
      <alignment vertical="center"/>
    </xf>
    <xf numFmtId="0" fontId="9" fillId="0" borderId="2" xfId="0" applyFont="1" applyBorder="1" applyAlignment="1">
      <alignment vertical="center"/>
    </xf>
    <xf numFmtId="0" fontId="9" fillId="0" borderId="2" xfId="0" applyFont="1" applyBorder="1" applyAlignment="1">
      <alignment vertical="center" wrapText="1"/>
    </xf>
    <xf numFmtId="165" fontId="9" fillId="0" borderId="0" xfId="0" applyNumberFormat="1" applyFont="1" applyAlignment="1">
      <alignment horizontal="center" vertical="center"/>
    </xf>
    <xf numFmtId="0" fontId="2" fillId="0" borderId="0" xfId="0" applyFont="1" applyAlignment="1">
      <alignment vertical="top"/>
    </xf>
    <xf numFmtId="0" fontId="9" fillId="0" borderId="0" xfId="0" applyFont="1" applyAlignment="1">
      <alignment horizontal="center" vertical="top" wrapText="1"/>
    </xf>
    <xf numFmtId="0" fontId="22" fillId="0" borderId="0" xfId="0" applyFont="1" applyAlignment="1">
      <alignment vertical="top"/>
    </xf>
    <xf numFmtId="0" fontId="11" fillId="0" borderId="0" xfId="0" applyFont="1" applyAlignment="1">
      <alignment horizontal="center" vertical="top" wrapText="1"/>
    </xf>
    <xf numFmtId="0" fontId="11" fillId="2" borderId="0" xfId="0" applyFont="1" applyFill="1"/>
    <xf numFmtId="0" fontId="11" fillId="2" borderId="0" xfId="0" applyFont="1" applyFill="1" applyAlignment="1">
      <alignment wrapText="1"/>
    </xf>
    <xf numFmtId="0" fontId="11" fillId="2" borderId="0" xfId="0" applyFont="1" applyFill="1" applyAlignment="1">
      <alignment horizontal="left"/>
    </xf>
    <xf numFmtId="0" fontId="11" fillId="2" borderId="0" xfId="0" applyFont="1" applyFill="1" applyAlignment="1">
      <alignment horizontal="center"/>
    </xf>
    <xf numFmtId="0" fontId="9" fillId="0" borderId="2" xfId="0" applyFont="1" applyBorder="1" applyAlignment="1">
      <alignment horizontal="left" vertical="center"/>
    </xf>
    <xf numFmtId="9" fontId="9" fillId="0" borderId="0" xfId="2" applyFont="1" applyFill="1" applyBorder="1" applyAlignment="1">
      <alignment horizontal="center" vertical="center"/>
    </xf>
    <xf numFmtId="9" fontId="9" fillId="0" borderId="0" xfId="2" applyFont="1" applyFill="1" applyBorder="1"/>
    <xf numFmtId="9" fontId="9" fillId="0" borderId="0" xfId="0" applyNumberFormat="1" applyFont="1"/>
    <xf numFmtId="0" fontId="11" fillId="10" borderId="22" xfId="0" applyFont="1" applyFill="1" applyBorder="1" applyAlignment="1">
      <alignment horizontal="center" vertical="center"/>
    </xf>
    <xf numFmtId="9" fontId="9" fillId="0" borderId="0" xfId="0" applyNumberFormat="1" applyFont="1" applyAlignment="1">
      <alignment vertical="center"/>
    </xf>
    <xf numFmtId="0" fontId="19" fillId="0" borderId="0" xfId="5" applyFont="1" applyAlignment="1">
      <alignment vertical="center"/>
    </xf>
    <xf numFmtId="0" fontId="28" fillId="0" borderId="0" xfId="0" applyFont="1" applyAlignment="1">
      <alignment horizontal="left" vertical="center"/>
    </xf>
    <xf numFmtId="0" fontId="29" fillId="10" borderId="12" xfId="0" applyFont="1" applyFill="1" applyBorder="1" applyAlignment="1">
      <alignment horizontal="center" vertical="center" wrapText="1"/>
    </xf>
    <xf numFmtId="9" fontId="9" fillId="0" borderId="22" xfId="2" applyFont="1" applyFill="1" applyBorder="1" applyAlignment="1">
      <alignment horizontal="center" vertical="center"/>
    </xf>
    <xf numFmtId="3" fontId="9" fillId="0" borderId="2" xfId="0" applyNumberFormat="1" applyFont="1" applyBorder="1" applyAlignment="1">
      <alignment horizontal="center" vertical="center"/>
    </xf>
    <xf numFmtId="0" fontId="27" fillId="0" borderId="0" xfId="0" applyFont="1" applyAlignment="1">
      <alignment horizontal="center" vertical="center"/>
    </xf>
    <xf numFmtId="0" fontId="30" fillId="6" borderId="0" xfId="0" applyFont="1" applyFill="1" applyAlignment="1">
      <alignment vertical="center" wrapText="1"/>
    </xf>
    <xf numFmtId="0" fontId="27" fillId="6" borderId="0" xfId="0" applyFont="1" applyFill="1" applyAlignment="1">
      <alignment horizontal="center" vertical="center"/>
    </xf>
    <xf numFmtId="165" fontId="27" fillId="6" borderId="0" xfId="0" applyNumberFormat="1" applyFont="1" applyFill="1" applyAlignment="1">
      <alignment horizontal="center" vertical="center"/>
    </xf>
    <xf numFmtId="0" fontId="28" fillId="0" borderId="0" xfId="0" applyFont="1" applyAlignment="1">
      <alignment horizontal="left"/>
    </xf>
    <xf numFmtId="0" fontId="29" fillId="0" borderId="0" xfId="0" applyFont="1" applyAlignment="1">
      <alignment horizontal="left" vertical="center" wrapText="1"/>
    </xf>
    <xf numFmtId="0" fontId="29" fillId="0" borderId="0" xfId="0" applyFont="1" applyAlignment="1">
      <alignment horizontal="left" vertical="center"/>
    </xf>
    <xf numFmtId="0" fontId="29" fillId="0" borderId="0" xfId="0" applyFont="1" applyAlignment="1">
      <alignment horizontal="center" vertical="center" wrapText="1"/>
    </xf>
    <xf numFmtId="10" fontId="9" fillId="0" borderId="0" xfId="8" applyNumberFormat="1" applyFont="1" applyFill="1" applyBorder="1" applyAlignment="1">
      <alignment horizontal="center"/>
    </xf>
    <xf numFmtId="9" fontId="9" fillId="0" borderId="0" xfId="2" applyFont="1" applyFill="1" applyBorder="1" applyAlignment="1">
      <alignment horizontal="left"/>
    </xf>
    <xf numFmtId="1" fontId="9" fillId="0" borderId="0" xfId="2" applyNumberFormat="1" applyFont="1" applyFill="1" applyBorder="1"/>
    <xf numFmtId="3" fontId="9" fillId="0" borderId="0" xfId="0" applyNumberFormat="1" applyFont="1" applyAlignment="1">
      <alignment horizontal="center" vertical="center"/>
    </xf>
    <xf numFmtId="0" fontId="11" fillId="2" borderId="0" xfId="0" applyFont="1" applyFill="1" applyAlignment="1">
      <alignment horizontal="center" vertical="center"/>
    </xf>
    <xf numFmtId="168" fontId="27" fillId="0" borderId="0" xfId="0" applyNumberFormat="1" applyFont="1" applyAlignment="1">
      <alignment horizontal="center" vertical="center"/>
    </xf>
    <xf numFmtId="0" fontId="16" fillId="0" borderId="0" xfId="0" applyFont="1" applyAlignment="1">
      <alignment vertical="center"/>
    </xf>
    <xf numFmtId="3" fontId="9" fillId="0" borderId="0" xfId="7" applyNumberFormat="1" applyFont="1" applyAlignment="1">
      <alignment horizontal="center" vertical="center"/>
    </xf>
    <xf numFmtId="0" fontId="31" fillId="0" borderId="0" xfId="0" applyFont="1"/>
    <xf numFmtId="9" fontId="32" fillId="0" borderId="0" xfId="2" applyFont="1"/>
    <xf numFmtId="0" fontId="33" fillId="2" borderId="0" xfId="0" applyFont="1" applyFill="1"/>
    <xf numFmtId="0" fontId="34" fillId="0" borderId="0" xfId="0" quotePrefix="1" applyFont="1"/>
    <xf numFmtId="0" fontId="31" fillId="0" borderId="0" xfId="0" applyFont="1" applyAlignment="1">
      <alignment wrapText="1"/>
    </xf>
    <xf numFmtId="0" fontId="31" fillId="0" borderId="0" xfId="0" applyFont="1" applyAlignment="1">
      <alignment horizontal="center"/>
    </xf>
    <xf numFmtId="0" fontId="9" fillId="0" borderId="0" xfId="4" applyAlignment="1">
      <alignment horizontal="center" vertical="center"/>
    </xf>
    <xf numFmtId="9" fontId="9" fillId="0" borderId="0" xfId="0" applyNumberFormat="1" applyFont="1" applyAlignment="1">
      <alignment horizontal="center"/>
    </xf>
    <xf numFmtId="9" fontId="9" fillId="0" borderId="0" xfId="0" applyNumberFormat="1" applyFont="1" applyAlignment="1">
      <alignment horizontal="left"/>
    </xf>
    <xf numFmtId="0" fontId="11" fillId="10" borderId="22" xfId="0" applyFont="1" applyFill="1" applyBorder="1" applyAlignment="1">
      <alignment horizontal="center" vertical="center" wrapText="1"/>
    </xf>
    <xf numFmtId="9" fontId="9" fillId="0" borderId="2" xfId="0" applyNumberFormat="1" applyFont="1" applyBorder="1" applyAlignment="1">
      <alignment horizontal="center" vertical="center" wrapText="1"/>
    </xf>
    <xf numFmtId="168" fontId="9" fillId="0" borderId="22" xfId="0" applyNumberFormat="1" applyFont="1" applyBorder="1" applyAlignment="1">
      <alignment horizontal="center" vertical="center"/>
    </xf>
    <xf numFmtId="0" fontId="11" fillId="10" borderId="25" xfId="0" applyFont="1" applyFill="1" applyBorder="1" applyAlignment="1">
      <alignment horizontal="center" vertical="center" wrapText="1"/>
    </xf>
    <xf numFmtId="0" fontId="19" fillId="0" borderId="22" xfId="5" applyFont="1" applyBorder="1" applyAlignment="1">
      <alignment horizontal="center" vertical="center"/>
    </xf>
    <xf numFmtId="0" fontId="36" fillId="0" borderId="0" xfId="0" applyFont="1"/>
    <xf numFmtId="0" fontId="20" fillId="0" borderId="0" xfId="0" applyFont="1"/>
    <xf numFmtId="0" fontId="14" fillId="0" borderId="0" xfId="3" applyFont="1" applyFill="1" applyBorder="1" applyAlignment="1">
      <alignment horizontal="center" vertical="top" wrapText="1"/>
    </xf>
    <xf numFmtId="0" fontId="26" fillId="0" borderId="0" xfId="0" applyFont="1" applyAlignment="1">
      <alignment vertical="center" wrapText="1"/>
    </xf>
    <xf numFmtId="9" fontId="26" fillId="0" borderId="0" xfId="0" applyNumberFormat="1" applyFont="1" applyAlignment="1">
      <alignment vertical="center" wrapText="1"/>
    </xf>
    <xf numFmtId="0" fontId="26" fillId="0" borderId="0" xfId="0" applyFont="1" applyAlignment="1">
      <alignment horizontal="left" vertical="center"/>
    </xf>
    <xf numFmtId="0" fontId="26" fillId="0" borderId="0" xfId="0" applyFont="1"/>
    <xf numFmtId="0" fontId="2" fillId="0" borderId="12" xfId="0" applyFont="1" applyBorder="1" applyAlignment="1">
      <alignment horizontal="center" vertical="center"/>
    </xf>
    <xf numFmtId="0" fontId="11" fillId="10" borderId="25" xfId="0" applyFont="1" applyFill="1" applyBorder="1" applyAlignment="1">
      <alignment horizontal="center" vertical="center"/>
    </xf>
    <xf numFmtId="0" fontId="9" fillId="6" borderId="2" xfId="0" applyFont="1" applyFill="1" applyBorder="1" applyAlignment="1">
      <alignment horizontal="center" vertical="center"/>
    </xf>
    <xf numFmtId="3" fontId="9" fillId="0" borderId="0" xfId="2" applyNumberFormat="1" applyFont="1" applyBorder="1" applyAlignment="1">
      <alignment horizontal="center"/>
    </xf>
    <xf numFmtId="2" fontId="27" fillId="0" borderId="1" xfId="0" applyNumberFormat="1" applyFont="1" applyBorder="1" applyAlignment="1">
      <alignment horizontal="center" vertical="center"/>
    </xf>
    <xf numFmtId="2" fontId="27" fillId="0" borderId="2" xfId="0" applyNumberFormat="1" applyFont="1" applyBorder="1" applyAlignment="1">
      <alignment horizontal="center" vertical="center"/>
    </xf>
    <xf numFmtId="2" fontId="27" fillId="0" borderId="31" xfId="0" applyNumberFormat="1" applyFont="1" applyBorder="1" applyAlignment="1">
      <alignment horizontal="center" vertical="center"/>
    </xf>
    <xf numFmtId="2" fontId="27" fillId="0" borderId="5" xfId="0" applyNumberFormat="1" applyFont="1" applyBorder="1" applyAlignment="1">
      <alignment horizontal="center" vertical="center"/>
    </xf>
    <xf numFmtId="2" fontId="27" fillId="0" borderId="7" xfId="0" applyNumberFormat="1" applyFont="1" applyBorder="1" applyAlignment="1">
      <alignment horizontal="center" vertical="center"/>
    </xf>
    <xf numFmtId="2" fontId="27" fillId="0" borderId="9" xfId="0" applyNumberFormat="1" applyFont="1" applyBorder="1" applyAlignment="1">
      <alignment horizontal="center" vertical="center"/>
    </xf>
    <xf numFmtId="0" fontId="39" fillId="0" borderId="0" xfId="0" applyFont="1"/>
    <xf numFmtId="0" fontId="22" fillId="10" borderId="12" xfId="0" applyFont="1" applyFill="1" applyBorder="1" applyAlignment="1">
      <alignment horizontal="center" vertical="center" wrapText="1"/>
    </xf>
    <xf numFmtId="0" fontId="9" fillId="0" borderId="6" xfId="0" applyFont="1" applyBorder="1" applyAlignment="1">
      <alignment horizontal="left" vertical="center"/>
    </xf>
    <xf numFmtId="0" fontId="9" fillId="0" borderId="7" xfId="0" applyFont="1" applyBorder="1" applyAlignment="1">
      <alignment horizontal="center" vertical="center"/>
    </xf>
    <xf numFmtId="2" fontId="27" fillId="0" borderId="35" xfId="0" applyNumberFormat="1" applyFont="1" applyBorder="1" applyAlignment="1">
      <alignment horizontal="center" vertical="center"/>
    </xf>
    <xf numFmtId="2" fontId="27" fillId="0" borderId="36" xfId="0" applyNumberFormat="1" applyFont="1" applyBorder="1" applyAlignment="1">
      <alignment horizontal="center" vertical="center"/>
    </xf>
    <xf numFmtId="2" fontId="27" fillId="0" borderId="37" xfId="0" applyNumberFormat="1" applyFont="1" applyBorder="1" applyAlignment="1">
      <alignment horizontal="center" vertical="center"/>
    </xf>
    <xf numFmtId="2" fontId="27" fillId="0" borderId="43" xfId="0" applyNumberFormat="1" applyFont="1" applyBorder="1" applyAlignment="1">
      <alignment horizontal="center" vertical="center"/>
    </xf>
    <xf numFmtId="2" fontId="27" fillId="0" borderId="44" xfId="0" applyNumberFormat="1" applyFont="1" applyBorder="1" applyAlignment="1">
      <alignment horizontal="center" vertical="center"/>
    </xf>
    <xf numFmtId="2" fontId="27" fillId="0" borderId="46" xfId="0" applyNumberFormat="1" applyFont="1" applyBorder="1" applyAlignment="1">
      <alignment horizontal="center" vertical="center"/>
    </xf>
    <xf numFmtId="2" fontId="27" fillId="0" borderId="48" xfId="0" applyNumberFormat="1" applyFont="1" applyBorder="1" applyAlignment="1">
      <alignment horizontal="center" vertical="center"/>
    </xf>
    <xf numFmtId="2" fontId="27" fillId="0" borderId="50" xfId="0" applyNumberFormat="1" applyFont="1" applyBorder="1" applyAlignment="1">
      <alignment horizontal="center" vertical="center"/>
    </xf>
    <xf numFmtId="2" fontId="27" fillId="0" borderId="52" xfId="0" applyNumberFormat="1" applyFont="1" applyBorder="1" applyAlignment="1">
      <alignment horizontal="center" vertical="center"/>
    </xf>
    <xf numFmtId="2" fontId="27" fillId="0" borderId="53" xfId="0" applyNumberFormat="1" applyFont="1" applyBorder="1" applyAlignment="1">
      <alignment horizontal="center" vertical="center"/>
    </xf>
    <xf numFmtId="0" fontId="27" fillId="0" borderId="54" xfId="0" applyFont="1" applyBorder="1" applyAlignment="1">
      <alignment horizontal="center" vertical="center"/>
    </xf>
    <xf numFmtId="0" fontId="27" fillId="0" borderId="55" xfId="0" applyFont="1" applyBorder="1" applyAlignment="1">
      <alignment horizontal="center" vertical="center"/>
    </xf>
    <xf numFmtId="0" fontId="27" fillId="0" borderId="56" xfId="0" applyFont="1" applyBorder="1" applyAlignment="1">
      <alignment horizontal="center" vertical="center"/>
    </xf>
    <xf numFmtId="0" fontId="27" fillId="0" borderId="57" xfId="0" applyFont="1" applyBorder="1" applyAlignment="1">
      <alignment horizontal="center" vertical="center"/>
    </xf>
    <xf numFmtId="0" fontId="27" fillId="0" borderId="38" xfId="0" applyFont="1" applyBorder="1" applyAlignment="1">
      <alignment horizontal="center" vertical="center"/>
    </xf>
    <xf numFmtId="0" fontId="27" fillId="0" borderId="39" xfId="0" applyFont="1" applyBorder="1" applyAlignment="1">
      <alignment horizontal="center" vertical="center"/>
    </xf>
    <xf numFmtId="0" fontId="27" fillId="0" borderId="11" xfId="0" applyFont="1" applyBorder="1" applyAlignment="1">
      <alignment horizontal="center" vertical="center"/>
    </xf>
    <xf numFmtId="0" fontId="27" fillId="0" borderId="40" xfId="0" applyFont="1" applyBorder="1" applyAlignment="1">
      <alignment horizontal="center" vertical="center"/>
    </xf>
    <xf numFmtId="2" fontId="27" fillId="0" borderId="12" xfId="0" applyNumberFormat="1" applyFont="1" applyBorder="1" applyAlignment="1">
      <alignment horizontal="center" vertical="center"/>
    </xf>
    <xf numFmtId="0" fontId="40" fillId="0" borderId="0" xfId="0" applyFont="1"/>
    <xf numFmtId="0" fontId="1" fillId="0" borderId="0" xfId="0" applyFont="1"/>
    <xf numFmtId="0" fontId="13" fillId="0" borderId="0" xfId="0" applyFont="1"/>
    <xf numFmtId="0" fontId="9" fillId="0" borderId="2" xfId="0" applyFont="1" applyBorder="1" applyAlignment="1">
      <alignment horizontal="left" vertical="center" wrapText="1"/>
    </xf>
    <xf numFmtId="0" fontId="15" fillId="0" borderId="0" xfId="0" applyFont="1" applyAlignment="1">
      <alignment horizontal="center"/>
    </xf>
    <xf numFmtId="169" fontId="9" fillId="0" borderId="0" xfId="6" applyNumberFormat="1" applyFont="1" applyAlignment="1">
      <alignment horizontal="center" vertical="top" wrapText="1"/>
    </xf>
    <xf numFmtId="0" fontId="0" fillId="0" borderId="0" xfId="0" applyAlignment="1">
      <alignment horizontal="left" vertical="center"/>
    </xf>
    <xf numFmtId="0" fontId="43" fillId="0" borderId="0" xfId="0" applyFont="1"/>
    <xf numFmtId="43" fontId="9" fillId="0" borderId="0" xfId="0" applyNumberFormat="1" applyFont="1"/>
    <xf numFmtId="169" fontId="9" fillId="0" borderId="0" xfId="6" applyNumberFormat="1" applyFont="1"/>
    <xf numFmtId="0" fontId="44" fillId="0" borderId="0" xfId="0" applyFont="1"/>
    <xf numFmtId="0" fontId="15" fillId="0" borderId="0" xfId="0" applyFont="1" applyAlignment="1">
      <alignment vertical="center"/>
    </xf>
    <xf numFmtId="0" fontId="9" fillId="0" borderId="2" xfId="0" applyFont="1" applyBorder="1"/>
    <xf numFmtId="0" fontId="9" fillId="0" borderId="18" xfId="0" applyFont="1" applyBorder="1"/>
    <xf numFmtId="9" fontId="45" fillId="0" borderId="0" xfId="2" applyFont="1" applyBorder="1" applyAlignment="1">
      <alignment horizontal="center"/>
    </xf>
    <xf numFmtId="0" fontId="22" fillId="0" borderId="0" xfId="0" applyFont="1" applyAlignment="1">
      <alignment horizontal="center" vertical="center" wrapText="1"/>
    </xf>
    <xf numFmtId="9" fontId="26" fillId="0" borderId="0" xfId="2" applyFont="1" applyBorder="1" applyAlignment="1">
      <alignment horizontal="left" vertical="center"/>
    </xf>
    <xf numFmtId="9" fontId="26" fillId="0" borderId="0" xfId="0" applyNumberFormat="1" applyFont="1" applyAlignment="1">
      <alignment horizontal="left" vertical="center" wrapText="1"/>
    </xf>
    <xf numFmtId="0" fontId="11" fillId="2" borderId="0" xfId="0" applyFont="1" applyFill="1" applyAlignment="1">
      <alignment vertical="center"/>
    </xf>
    <xf numFmtId="0" fontId="46" fillId="0" borderId="0" xfId="0" applyFont="1" applyAlignment="1">
      <alignment vertical="center"/>
    </xf>
    <xf numFmtId="0" fontId="26" fillId="0" borderId="0" xfId="0" applyFont="1" applyAlignment="1">
      <alignment vertical="center"/>
    </xf>
    <xf numFmtId="0" fontId="26" fillId="0" borderId="0" xfId="0" applyFont="1" applyAlignment="1">
      <alignment horizontal="center" vertical="center"/>
    </xf>
    <xf numFmtId="0" fontId="9" fillId="0" borderId="61" xfId="0" applyFont="1" applyBorder="1" applyAlignment="1">
      <alignment horizontal="center" vertical="center"/>
    </xf>
    <xf numFmtId="0" fontId="9" fillId="0" borderId="62" xfId="0" applyFont="1" applyBorder="1" applyAlignment="1">
      <alignment horizontal="center" vertical="center"/>
    </xf>
    <xf numFmtId="0" fontId="9" fillId="0" borderId="63" xfId="0" applyFont="1" applyBorder="1" applyAlignment="1">
      <alignment horizontal="center" vertical="center"/>
    </xf>
    <xf numFmtId="0" fontId="9" fillId="0" borderId="64" xfId="0" applyFont="1" applyBorder="1" applyAlignment="1">
      <alignment horizontal="center" vertical="center"/>
    </xf>
    <xf numFmtId="0" fontId="9" fillId="0" borderId="65" xfId="0" applyFont="1" applyBorder="1" applyAlignment="1">
      <alignment horizontal="center" vertical="center"/>
    </xf>
    <xf numFmtId="0" fontId="9" fillId="6" borderId="0" xfId="0" applyFont="1" applyFill="1"/>
    <xf numFmtId="0" fontId="9" fillId="6" borderId="69" xfId="0" applyFont="1" applyFill="1" applyBorder="1"/>
    <xf numFmtId="0" fontId="11" fillId="6" borderId="70" xfId="0" applyFont="1" applyFill="1" applyBorder="1" applyAlignment="1">
      <alignment vertical="center"/>
    </xf>
    <xf numFmtId="0" fontId="11" fillId="6" borderId="71" xfId="0" applyFont="1" applyFill="1" applyBorder="1" applyAlignment="1">
      <alignment vertical="center"/>
    </xf>
    <xf numFmtId="0" fontId="11" fillId="6" borderId="72" xfId="0" applyFont="1" applyFill="1" applyBorder="1" applyAlignment="1">
      <alignment vertical="center"/>
    </xf>
    <xf numFmtId="0" fontId="11" fillId="6" borderId="0" xfId="0" applyFont="1" applyFill="1" applyAlignment="1">
      <alignment vertical="center"/>
    </xf>
    <xf numFmtId="0" fontId="11" fillId="6" borderId="73" xfId="0" applyFont="1" applyFill="1" applyBorder="1" applyAlignment="1">
      <alignment vertical="center"/>
    </xf>
    <xf numFmtId="0" fontId="9" fillId="6" borderId="72" xfId="0" applyFont="1" applyFill="1" applyBorder="1"/>
    <xf numFmtId="0" fontId="9" fillId="6" borderId="73" xfId="0" applyFont="1" applyFill="1" applyBorder="1"/>
    <xf numFmtId="169" fontId="0" fillId="0" borderId="0" xfId="6" applyNumberFormat="1" applyFont="1" applyBorder="1"/>
    <xf numFmtId="3" fontId="9" fillId="0" borderId="0" xfId="0" applyNumberFormat="1" applyFont="1" applyAlignment="1">
      <alignment vertical="center" wrapText="1"/>
    </xf>
    <xf numFmtId="3" fontId="9" fillId="0" borderId="0" xfId="0" applyNumberFormat="1" applyFont="1" applyAlignment="1">
      <alignment vertical="center"/>
    </xf>
    <xf numFmtId="0" fontId="9" fillId="7" borderId="58" xfId="0" applyFont="1" applyFill="1" applyBorder="1"/>
    <xf numFmtId="3" fontId="9" fillId="0" borderId="58" xfId="0" applyNumberFormat="1" applyFont="1" applyBorder="1" applyAlignment="1">
      <alignment horizontal="center"/>
    </xf>
    <xf numFmtId="0" fontId="9" fillId="7" borderId="58" xfId="0" applyFont="1" applyFill="1" applyBorder="1" applyAlignment="1">
      <alignment horizontal="center" vertical="center"/>
    </xf>
    <xf numFmtId="0" fontId="49" fillId="0" borderId="0" xfId="0" applyFont="1"/>
    <xf numFmtId="0" fontId="9" fillId="0" borderId="26" xfId="0" applyFont="1" applyBorder="1" applyAlignment="1">
      <alignment horizontal="center" vertical="center"/>
    </xf>
    <xf numFmtId="168" fontId="2" fillId="0" borderId="22" xfId="0" applyNumberFormat="1" applyFont="1" applyBorder="1" applyAlignment="1">
      <alignment horizontal="center" vertical="center"/>
    </xf>
    <xf numFmtId="0" fontId="33" fillId="0" borderId="0" xfId="0" applyFont="1"/>
    <xf numFmtId="0" fontId="2" fillId="0" borderId="0" xfId="0" applyFont="1" applyAlignment="1">
      <alignment horizontal="left" vertical="top"/>
    </xf>
    <xf numFmtId="169" fontId="15" fillId="0" borderId="0" xfId="6" applyNumberFormat="1" applyFont="1" applyBorder="1" applyAlignment="1">
      <alignment horizontal="center"/>
    </xf>
    <xf numFmtId="9" fontId="9" fillId="0" borderId="2" xfId="2" applyFont="1" applyBorder="1" applyAlignment="1">
      <alignment horizontal="right"/>
    </xf>
    <xf numFmtId="9" fontId="9" fillId="0" borderId="12" xfId="2" applyFont="1" applyBorder="1" applyAlignment="1">
      <alignment horizontal="right"/>
    </xf>
    <xf numFmtId="9" fontId="9" fillId="0" borderId="21" xfId="2" applyFont="1" applyFill="1" applyBorder="1"/>
    <xf numFmtId="9" fontId="9" fillId="0" borderId="11" xfId="2" applyFont="1" applyFill="1" applyBorder="1"/>
    <xf numFmtId="0" fontId="50" fillId="0" borderId="0" xfId="0" applyFont="1"/>
    <xf numFmtId="0" fontId="41" fillId="0" borderId="26" xfId="0" applyFont="1" applyBorder="1" applyAlignment="1">
      <alignment horizontal="center" vertical="center"/>
    </xf>
    <xf numFmtId="0" fontId="9" fillId="6" borderId="2" xfId="0" applyFont="1" applyFill="1" applyBorder="1" applyAlignment="1">
      <alignment horizontal="center" vertical="center" wrapText="1"/>
    </xf>
    <xf numFmtId="0" fontId="9" fillId="16" borderId="58" xfId="0" applyFont="1" applyFill="1" applyBorder="1" applyAlignment="1">
      <alignment vertical="center" wrapText="1"/>
    </xf>
    <xf numFmtId="0" fontId="9" fillId="0" borderId="4" xfId="0" applyFont="1" applyBorder="1" applyAlignment="1">
      <alignment horizontal="left" vertical="center"/>
    </xf>
    <xf numFmtId="0" fontId="9" fillId="0" borderId="1" xfId="0" applyFont="1" applyBorder="1" applyAlignment="1">
      <alignment horizontal="center" vertical="center"/>
    </xf>
    <xf numFmtId="0" fontId="9" fillId="0" borderId="5" xfId="0" applyFont="1" applyBorder="1" applyAlignment="1">
      <alignment horizontal="center" vertical="center"/>
    </xf>
    <xf numFmtId="0" fontId="9" fillId="0" borderId="2" xfId="0" applyFont="1" applyBorder="1" applyAlignment="1">
      <alignment wrapText="1"/>
    </xf>
    <xf numFmtId="0" fontId="9" fillId="0" borderId="2" xfId="0" applyFont="1" applyBorder="1" applyAlignment="1">
      <alignment horizontal="left" wrapText="1"/>
    </xf>
    <xf numFmtId="0" fontId="9" fillId="0" borderId="2" xfId="0" applyFont="1" applyBorder="1" applyAlignment="1">
      <alignment horizontal="left"/>
    </xf>
    <xf numFmtId="0" fontId="2" fillId="0" borderId="0" xfId="0" applyFont="1" applyAlignment="1">
      <alignment wrapText="1"/>
    </xf>
    <xf numFmtId="0" fontId="2" fillId="0" borderId="0" xfId="0" applyFont="1" applyAlignment="1">
      <alignment horizontal="center" vertical="center" wrapText="1"/>
    </xf>
    <xf numFmtId="169" fontId="9" fillId="0" borderId="2" xfId="6" applyNumberFormat="1" applyFont="1" applyBorder="1" applyAlignment="1">
      <alignment horizontal="left" vertical="center"/>
    </xf>
    <xf numFmtId="0" fontId="9" fillId="0" borderId="11" xfId="0" applyFont="1" applyBorder="1" applyAlignment="1">
      <alignment horizontal="center" vertical="center"/>
    </xf>
    <xf numFmtId="168" fontId="25" fillId="0" borderId="0" xfId="0" applyNumberFormat="1" applyFont="1" applyAlignment="1">
      <alignment horizontal="center" vertical="center"/>
    </xf>
    <xf numFmtId="0" fontId="22" fillId="0" borderId="0" xfId="0" applyFont="1" applyAlignment="1">
      <alignment vertical="center" wrapText="1"/>
    </xf>
    <xf numFmtId="169" fontId="0" fillId="0" borderId="2" xfId="6" applyNumberFormat="1" applyFont="1" applyBorder="1" applyAlignment="1">
      <alignment horizontal="center" vertical="center"/>
    </xf>
    <xf numFmtId="0" fontId="0" fillId="0" borderId="2" xfId="0" applyBorder="1" applyAlignment="1">
      <alignment vertical="center" wrapText="1"/>
    </xf>
    <xf numFmtId="0" fontId="14" fillId="0" borderId="0" xfId="3" applyFont="1" applyFill="1" applyBorder="1" applyAlignment="1">
      <alignment horizontal="left" vertical="top" wrapText="1"/>
    </xf>
    <xf numFmtId="3" fontId="14" fillId="0" borderId="0" xfId="3" applyNumberFormat="1" applyFont="1" applyFill="1" applyBorder="1" applyAlignment="1">
      <alignment horizontal="center" vertical="center" wrapText="1"/>
    </xf>
    <xf numFmtId="0" fontId="14" fillId="0" borderId="0" xfId="3" applyFont="1" applyBorder="1" applyAlignment="1">
      <alignment horizontal="center" vertical="top" wrapText="1"/>
    </xf>
    <xf numFmtId="3" fontId="14" fillId="0" borderId="0" xfId="3" applyNumberFormat="1" applyFont="1" applyBorder="1" applyAlignment="1">
      <alignment horizontal="center" vertical="center" wrapText="1"/>
    </xf>
    <xf numFmtId="1" fontId="2" fillId="0" borderId="0" xfId="7" applyNumberFormat="1" applyFont="1" applyAlignment="1">
      <alignment horizontal="center" vertical="center"/>
    </xf>
    <xf numFmtId="0" fontId="9" fillId="6" borderId="26" xfId="0" applyFont="1" applyFill="1" applyBorder="1" applyAlignment="1">
      <alignment horizontal="center" vertical="center"/>
    </xf>
    <xf numFmtId="168" fontId="9" fillId="0" borderId="28" xfId="0" applyNumberFormat="1" applyFont="1" applyBorder="1" applyAlignment="1">
      <alignment horizontal="center" vertical="center"/>
    </xf>
    <xf numFmtId="0" fontId="15" fillId="0" borderId="0" xfId="0" applyFont="1" applyAlignment="1">
      <alignment wrapText="1"/>
    </xf>
    <xf numFmtId="0" fontId="18" fillId="0" borderId="0" xfId="0" applyFont="1"/>
    <xf numFmtId="0" fontId="18" fillId="0" borderId="0" xfId="0" applyFont="1" applyAlignment="1">
      <alignment wrapText="1"/>
    </xf>
    <xf numFmtId="0" fontId="18" fillId="0" borderId="0" xfId="0" applyFont="1" applyAlignment="1">
      <alignment horizontal="left"/>
    </xf>
    <xf numFmtId="0" fontId="18" fillId="0" borderId="0" xfId="0" applyFont="1" applyAlignment="1">
      <alignment horizontal="center"/>
    </xf>
    <xf numFmtId="165" fontId="15" fillId="0" borderId="0" xfId="0" applyNumberFormat="1" applyFont="1" applyAlignment="1">
      <alignment horizontal="center" vertical="center"/>
    </xf>
    <xf numFmtId="0" fontId="18" fillId="2" borderId="0" xfId="0" applyFont="1" applyFill="1"/>
    <xf numFmtId="0" fontId="18" fillId="2" borderId="0" xfId="0" applyFont="1" applyFill="1" applyAlignment="1">
      <alignment wrapText="1"/>
    </xf>
    <xf numFmtId="0" fontId="18" fillId="2" borderId="0" xfId="0" applyFont="1" applyFill="1" applyAlignment="1">
      <alignment horizontal="left"/>
    </xf>
    <xf numFmtId="0" fontId="18" fillId="2" borderId="0" xfId="0" applyFont="1" applyFill="1" applyAlignment="1">
      <alignment horizontal="center"/>
    </xf>
    <xf numFmtId="0" fontId="52" fillId="0" borderId="0" xfId="0" applyFont="1"/>
    <xf numFmtId="0" fontId="41" fillId="0" borderId="0" xfId="0" applyFont="1"/>
    <xf numFmtId="0" fontId="41" fillId="0" borderId="0" xfId="0" applyFont="1" applyAlignment="1">
      <alignment horizontal="center"/>
    </xf>
    <xf numFmtId="0" fontId="41" fillId="0" borderId="67" xfId="0" applyFont="1" applyBorder="1"/>
    <xf numFmtId="0" fontId="41" fillId="0" borderId="68" xfId="0" applyFont="1" applyBorder="1"/>
    <xf numFmtId="0" fontId="41" fillId="0" borderId="83" xfId="0" applyFont="1" applyBorder="1"/>
    <xf numFmtId="0" fontId="41" fillId="0" borderId="78" xfId="0" applyFont="1" applyBorder="1"/>
    <xf numFmtId="0" fontId="41" fillId="0" borderId="79" xfId="0" applyFont="1" applyBorder="1"/>
    <xf numFmtId="0" fontId="41" fillId="0" borderId="82" xfId="0" applyFont="1" applyBorder="1"/>
    <xf numFmtId="0" fontId="53" fillId="0" borderId="81" xfId="0" applyFont="1" applyBorder="1" applyAlignment="1">
      <alignment horizontal="right" vertical="center" wrapText="1"/>
    </xf>
    <xf numFmtId="0" fontId="53" fillId="0" borderId="80" xfId="0" applyFont="1" applyBorder="1" applyAlignment="1">
      <alignment horizontal="right" vertical="center" wrapText="1"/>
    </xf>
    <xf numFmtId="0" fontId="41" fillId="0" borderId="78" xfId="0" applyFont="1" applyBorder="1" applyAlignment="1">
      <alignment wrapText="1"/>
    </xf>
    <xf numFmtId="0" fontId="41" fillId="0" borderId="0" xfId="0" applyFont="1" applyAlignment="1">
      <alignment wrapText="1"/>
    </xf>
    <xf numFmtId="0" fontId="53" fillId="0" borderId="0" xfId="0" applyFont="1" applyAlignment="1">
      <alignment vertical="center"/>
    </xf>
    <xf numFmtId="0" fontId="53" fillId="17" borderId="0" xfId="0" applyFont="1" applyFill="1" applyAlignment="1">
      <alignment vertical="center"/>
    </xf>
    <xf numFmtId="0" fontId="53" fillId="0" borderId="0" xfId="0" applyFont="1" applyAlignment="1">
      <alignment wrapText="1"/>
    </xf>
    <xf numFmtId="0" fontId="53" fillId="0" borderId="0" xfId="0" applyFont="1"/>
    <xf numFmtId="0" fontId="53" fillId="0" borderId="0" xfId="0" applyFont="1" applyAlignment="1">
      <alignment horizontal="center" vertical="center" wrapText="1"/>
    </xf>
    <xf numFmtId="0" fontId="53" fillId="0" borderId="0" xfId="0" applyFont="1" applyAlignment="1">
      <alignment vertical="center" wrapText="1"/>
    </xf>
    <xf numFmtId="0" fontId="53" fillId="0" borderId="0" xfId="0" applyFont="1" applyAlignment="1">
      <alignment horizontal="right" vertical="center" wrapText="1"/>
    </xf>
    <xf numFmtId="0" fontId="53" fillId="0" borderId="0" xfId="0" applyFont="1" applyAlignment="1">
      <alignment horizontal="right" vertical="center"/>
    </xf>
    <xf numFmtId="0" fontId="20" fillId="0" borderId="0" xfId="0" applyFont="1" applyAlignment="1">
      <alignment vertical="center"/>
    </xf>
    <xf numFmtId="0" fontId="11" fillId="7" borderId="0" xfId="0" applyFont="1" applyFill="1"/>
    <xf numFmtId="0" fontId="9" fillId="7" borderId="0" xfId="0" applyFont="1" applyFill="1" applyAlignment="1">
      <alignment wrapText="1"/>
    </xf>
    <xf numFmtId="0" fontId="9" fillId="7" borderId="0" xfId="0" applyFont="1" applyFill="1"/>
    <xf numFmtId="0" fontId="25" fillId="0" borderId="0" xfId="0" applyFont="1" applyAlignment="1">
      <alignment horizontal="left" vertical="center"/>
    </xf>
    <xf numFmtId="0" fontId="11" fillId="10" borderId="2" xfId="0" applyFont="1" applyFill="1" applyBorder="1" applyAlignment="1">
      <alignment horizontal="center" vertical="center" wrapText="1"/>
    </xf>
    <xf numFmtId="0" fontId="55" fillId="0" borderId="0" xfId="5" applyFont="1" applyAlignment="1">
      <alignment vertical="center"/>
    </xf>
    <xf numFmtId="0" fontId="28" fillId="15" borderId="2" xfId="0" applyFont="1" applyFill="1" applyBorder="1" applyAlignment="1">
      <alignment horizontal="right" vertical="center" wrapText="1"/>
    </xf>
    <xf numFmtId="0" fontId="28" fillId="9" borderId="2" xfId="0" applyFont="1" applyFill="1" applyBorder="1" applyAlignment="1">
      <alignment horizontal="right" vertical="center" wrapText="1"/>
    </xf>
    <xf numFmtId="9" fontId="28" fillId="0" borderId="2" xfId="2" applyFont="1" applyBorder="1" applyAlignment="1">
      <alignment horizontal="right" vertical="center" wrapText="1"/>
    </xf>
    <xf numFmtId="9" fontId="28" fillId="0" borderId="12" xfId="2" applyFont="1" applyBorder="1" applyAlignment="1">
      <alignment horizontal="right" vertical="center" wrapText="1"/>
    </xf>
    <xf numFmtId="9" fontId="28" fillId="14" borderId="0" xfId="2" applyFont="1" applyFill="1" applyBorder="1" applyAlignment="1">
      <alignment horizontal="right" vertical="center" wrapText="1"/>
    </xf>
    <xf numFmtId="0" fontId="16" fillId="0" borderId="0" xfId="0" applyFont="1" applyAlignment="1">
      <alignment vertical="center" wrapText="1"/>
    </xf>
    <xf numFmtId="9" fontId="9" fillId="0" borderId="2" xfId="0" applyNumberFormat="1" applyFont="1" applyBorder="1" applyAlignment="1">
      <alignment horizontal="center"/>
    </xf>
    <xf numFmtId="0" fontId="13" fillId="0" borderId="0" xfId="0" applyFont="1" applyAlignment="1">
      <alignment vertical="center"/>
    </xf>
    <xf numFmtId="0" fontId="4" fillId="0" borderId="66" xfId="0" applyFont="1" applyBorder="1"/>
    <xf numFmtId="0" fontId="4" fillId="0" borderId="84" xfId="0" applyFont="1" applyBorder="1"/>
    <xf numFmtId="0" fontId="4" fillId="0" borderId="88" xfId="0" applyFont="1" applyBorder="1"/>
    <xf numFmtId="0" fontId="51" fillId="0" borderId="0" xfId="0" applyFont="1" applyAlignment="1">
      <alignment vertical="center" wrapText="1"/>
    </xf>
    <xf numFmtId="0" fontId="0" fillId="0" borderId="0" xfId="0" applyAlignment="1">
      <alignment vertical="center" wrapText="1"/>
    </xf>
    <xf numFmtId="0" fontId="9" fillId="16" borderId="58" xfId="0" applyFont="1" applyFill="1" applyBorder="1" applyAlignment="1">
      <alignment horizontal="right" vertical="center" wrapText="1"/>
    </xf>
    <xf numFmtId="169" fontId="9" fillId="16" borderId="58" xfId="6" applyNumberFormat="1" applyFont="1" applyFill="1" applyBorder="1" applyAlignment="1">
      <alignment horizontal="right" vertical="center" wrapText="1"/>
    </xf>
    <xf numFmtId="9" fontId="9" fillId="16" borderId="58" xfId="2" applyFont="1" applyFill="1" applyBorder="1" applyAlignment="1">
      <alignment horizontal="right" vertical="center" wrapText="1"/>
    </xf>
    <xf numFmtId="168" fontId="15" fillId="0" borderId="0" xfId="0" applyNumberFormat="1" applyFont="1" applyAlignment="1">
      <alignment vertical="center"/>
    </xf>
    <xf numFmtId="2" fontId="15" fillId="0" borderId="0" xfId="0" applyNumberFormat="1" applyFont="1" applyAlignment="1">
      <alignment vertical="center"/>
    </xf>
    <xf numFmtId="168" fontId="2" fillId="11" borderId="22" xfId="0" applyNumberFormat="1" applyFont="1" applyFill="1" applyBorder="1" applyAlignment="1">
      <alignment horizontal="center" vertical="center"/>
    </xf>
    <xf numFmtId="0" fontId="2" fillId="11" borderId="26" xfId="0" applyFont="1" applyFill="1" applyBorder="1" applyAlignment="1">
      <alignment horizontal="center" vertical="center"/>
    </xf>
    <xf numFmtId="0" fontId="2" fillId="11" borderId="25" xfId="0" applyFont="1" applyFill="1" applyBorder="1" applyAlignment="1">
      <alignment horizontal="center" vertical="center" wrapText="1"/>
    </xf>
    <xf numFmtId="0" fontId="9" fillId="11" borderId="26" xfId="0" applyFont="1" applyFill="1" applyBorder="1" applyAlignment="1">
      <alignment horizontal="center" vertical="center"/>
    </xf>
    <xf numFmtId="168" fontId="9" fillId="11" borderId="22" xfId="0" applyNumberFormat="1" applyFont="1" applyFill="1" applyBorder="1" applyAlignment="1">
      <alignment horizontal="center" vertical="center"/>
    </xf>
    <xf numFmtId="170" fontId="51" fillId="0" borderId="0" xfId="0" applyNumberFormat="1" applyFont="1"/>
    <xf numFmtId="169" fontId="9" fillId="0" borderId="0" xfId="6" applyNumberFormat="1" applyFont="1" applyBorder="1" applyAlignment="1">
      <alignment vertical="center" wrapText="1"/>
    </xf>
    <xf numFmtId="169" fontId="9" fillId="0" borderId="2" xfId="6" applyNumberFormat="1" applyFont="1" applyBorder="1" applyAlignment="1">
      <alignment horizontal="right" vertical="center" wrapText="1"/>
    </xf>
    <xf numFmtId="0" fontId="29" fillId="10" borderId="12" xfId="0" applyFont="1" applyFill="1" applyBorder="1" applyAlignment="1">
      <alignment horizontal="left" vertical="center" wrapText="1"/>
    </xf>
    <xf numFmtId="3" fontId="11" fillId="0" borderId="0" xfId="0" applyNumberFormat="1" applyFont="1" applyAlignment="1">
      <alignment vertical="center"/>
    </xf>
    <xf numFmtId="3" fontId="9" fillId="0" borderId="0" xfId="0" applyNumberFormat="1" applyFont="1" applyAlignment="1">
      <alignment horizontal="left"/>
    </xf>
    <xf numFmtId="170" fontId="51" fillId="0" borderId="0" xfId="0" applyNumberFormat="1" applyFont="1" applyAlignment="1">
      <alignment vertical="center"/>
    </xf>
    <xf numFmtId="0" fontId="9" fillId="0" borderId="0" xfId="0" applyFont="1" applyAlignment="1">
      <alignment horizontal="left"/>
    </xf>
    <xf numFmtId="0" fontId="0" fillId="0" borderId="0" xfId="0" applyAlignment="1">
      <alignment horizontal="center" vertical="center" wrapText="1"/>
    </xf>
    <xf numFmtId="1" fontId="9" fillId="0" borderId="2" xfId="0" applyNumberFormat="1" applyFont="1" applyBorder="1" applyAlignment="1">
      <alignment horizontal="center" vertical="center" wrapText="1"/>
    </xf>
    <xf numFmtId="169" fontId="9" fillId="0" borderId="2" xfId="0" applyNumberFormat="1" applyFont="1" applyBorder="1" applyAlignment="1">
      <alignment horizontal="center" vertical="center" wrapText="1"/>
    </xf>
    <xf numFmtId="9" fontId="9" fillId="0" borderId="2" xfId="6" applyNumberFormat="1" applyFont="1" applyBorder="1" applyAlignment="1">
      <alignment horizontal="left" vertical="center"/>
    </xf>
    <xf numFmtId="0" fontId="9" fillId="0" borderId="2" xfId="0" applyFont="1" applyBorder="1" applyAlignment="1">
      <alignment horizontal="right" vertical="center"/>
    </xf>
    <xf numFmtId="0" fontId="9" fillId="0" borderId="0" xfId="0" applyFont="1" applyAlignment="1">
      <alignment horizontal="right"/>
    </xf>
    <xf numFmtId="165" fontId="28" fillId="0" borderId="2" xfId="0" applyNumberFormat="1" applyFont="1" applyBorder="1" applyAlignment="1">
      <alignment horizontal="right" vertical="center" wrapText="1"/>
    </xf>
    <xf numFmtId="165" fontId="28" fillId="0" borderId="12" xfId="0" applyNumberFormat="1" applyFont="1" applyBorder="1" applyAlignment="1">
      <alignment horizontal="right" vertical="center" wrapText="1"/>
    </xf>
    <xf numFmtId="2" fontId="28" fillId="0" borderId="2" xfId="0" applyNumberFormat="1" applyFont="1" applyBorder="1" applyAlignment="1">
      <alignment horizontal="right" vertical="center" wrapText="1"/>
    </xf>
    <xf numFmtId="2" fontId="28" fillId="0" borderId="12" xfId="0" applyNumberFormat="1" applyFont="1" applyBorder="1" applyAlignment="1">
      <alignment horizontal="right" vertical="center" wrapText="1"/>
    </xf>
    <xf numFmtId="2" fontId="28" fillId="0" borderId="3" xfId="0" applyNumberFormat="1" applyFont="1" applyBorder="1" applyAlignment="1">
      <alignment horizontal="right" vertical="center" wrapText="1"/>
    </xf>
    <xf numFmtId="2" fontId="9" fillId="14" borderId="0" xfId="0" applyNumberFormat="1" applyFont="1" applyFill="1"/>
    <xf numFmtId="2" fontId="28" fillId="0" borderId="13" xfId="0" applyNumberFormat="1" applyFont="1" applyBorder="1" applyAlignment="1">
      <alignment horizontal="right" vertical="center" wrapText="1"/>
    </xf>
    <xf numFmtId="2" fontId="9" fillId="14" borderId="0" xfId="0" applyNumberFormat="1" applyFont="1" applyFill="1" applyAlignment="1">
      <alignment horizontal="right"/>
    </xf>
    <xf numFmtId="0" fontId="9" fillId="0" borderId="3" xfId="0" applyFont="1" applyBorder="1" applyAlignment="1">
      <alignment horizontal="left"/>
    </xf>
    <xf numFmtId="0" fontId="9" fillId="0" borderId="2" xfId="0" quotePrefix="1" applyFont="1" applyBorder="1" applyAlignment="1">
      <alignment wrapText="1"/>
    </xf>
    <xf numFmtId="0" fontId="28" fillId="0" borderId="0" xfId="0" applyFont="1" applyAlignment="1">
      <alignment vertical="center" wrapText="1"/>
    </xf>
    <xf numFmtId="0" fontId="9" fillId="0" borderId="0" xfId="0" applyFont="1" applyAlignment="1">
      <alignment vertical="center" wrapText="1"/>
    </xf>
    <xf numFmtId="0" fontId="2" fillId="11" borderId="22" xfId="0" applyFont="1" applyFill="1" applyBorder="1" applyAlignment="1">
      <alignment horizontal="center" vertical="center"/>
    </xf>
    <xf numFmtId="0" fontId="9" fillId="11" borderId="22" xfId="0" applyFont="1" applyFill="1" applyBorder="1" applyAlignment="1">
      <alignment horizontal="center" vertical="center"/>
    </xf>
    <xf numFmtId="0" fontId="2" fillId="0" borderId="12" xfId="0" applyFont="1" applyBorder="1" applyAlignment="1">
      <alignment horizontal="center" vertical="center" wrapText="1"/>
    </xf>
    <xf numFmtId="0" fontId="0" fillId="0" borderId="0" xfId="0" applyAlignment="1">
      <alignment horizontal="left" vertical="center" wrapText="1"/>
    </xf>
    <xf numFmtId="0" fontId="9" fillId="0" borderId="41" xfId="0" applyFont="1" applyBorder="1" applyAlignment="1">
      <alignment horizontal="center" vertical="center"/>
    </xf>
    <xf numFmtId="0" fontId="48" fillId="0" borderId="22" xfId="0" applyFont="1" applyBorder="1" applyAlignment="1">
      <alignment horizontal="left" vertical="top" wrapText="1"/>
    </xf>
    <xf numFmtId="169" fontId="48" fillId="0" borderId="22" xfId="6" applyNumberFormat="1" applyFont="1" applyBorder="1" applyAlignment="1">
      <alignment horizontal="center" vertical="center" wrapText="1"/>
    </xf>
    <xf numFmtId="0" fontId="2" fillId="0" borderId="0" xfId="1" applyAlignment="1">
      <alignment vertical="center" wrapText="1"/>
    </xf>
    <xf numFmtId="0" fontId="15" fillId="0" borderId="78" xfId="0" applyFont="1" applyBorder="1"/>
    <xf numFmtId="0" fontId="37" fillId="0" borderId="29" xfId="0" applyFont="1" applyBorder="1"/>
    <xf numFmtId="169" fontId="37" fillId="0" borderId="29" xfId="0" applyNumberFormat="1" applyFont="1" applyBorder="1"/>
    <xf numFmtId="0" fontId="9" fillId="0" borderId="17" xfId="0" applyFont="1" applyBorder="1" applyAlignment="1">
      <alignment wrapText="1"/>
    </xf>
    <xf numFmtId="0" fontId="9" fillId="11" borderId="25" xfId="0" applyFont="1" applyFill="1" applyBorder="1" applyAlignment="1">
      <alignment horizontal="center" vertical="center" wrapText="1"/>
    </xf>
    <xf numFmtId="0" fontId="57" fillId="0" borderId="0" xfId="0" applyFont="1"/>
    <xf numFmtId="0" fontId="12" fillId="6" borderId="91" xfId="5" applyFill="1" applyBorder="1" applyAlignment="1">
      <alignment vertical="center" wrapText="1"/>
    </xf>
    <xf numFmtId="0" fontId="3" fillId="6" borderId="92" xfId="5" applyFont="1" applyFill="1" applyBorder="1" applyAlignment="1">
      <alignment vertical="center" wrapText="1"/>
    </xf>
    <xf numFmtId="168" fontId="58" fillId="0" borderId="0" xfId="0" applyNumberFormat="1" applyFont="1" applyAlignment="1">
      <alignment vertical="center"/>
    </xf>
    <xf numFmtId="0" fontId="20" fillId="0" borderId="0" xfId="0" applyFont="1" applyAlignment="1">
      <alignment vertical="center" wrapText="1"/>
    </xf>
    <xf numFmtId="0" fontId="2" fillId="0" borderId="0" xfId="0" applyFont="1" applyAlignment="1">
      <alignment horizontal="center" vertical="center"/>
    </xf>
    <xf numFmtId="168" fontId="2" fillId="0" borderId="0" xfId="0" applyNumberFormat="1" applyFont="1" applyAlignment="1">
      <alignment horizontal="center" vertical="center"/>
    </xf>
    <xf numFmtId="0" fontId="45" fillId="0" borderId="0" xfId="0" applyFont="1"/>
    <xf numFmtId="0" fontId="4" fillId="0" borderId="0" xfId="0" applyFont="1" applyAlignment="1">
      <alignment vertical="center" wrapText="1"/>
    </xf>
    <xf numFmtId="0" fontId="60" fillId="0" borderId="0" xfId="0" applyFont="1"/>
    <xf numFmtId="167" fontId="20" fillId="0" borderId="0" xfId="0" applyNumberFormat="1" applyFont="1"/>
    <xf numFmtId="0" fontId="27" fillId="0" borderId="0" xfId="0" applyFont="1"/>
    <xf numFmtId="0" fontId="63" fillId="11" borderId="35" xfId="0" applyFont="1" applyFill="1" applyBorder="1" applyAlignment="1">
      <alignment horizontal="center" vertical="center"/>
    </xf>
    <xf numFmtId="0" fontId="65" fillId="0" borderId="35" xfId="0" applyFont="1" applyBorder="1" applyAlignment="1">
      <alignment horizontal="left" vertical="center"/>
    </xf>
    <xf numFmtId="9" fontId="27" fillId="0" borderId="35" xfId="2" applyFont="1" applyFill="1" applyBorder="1" applyAlignment="1">
      <alignment horizontal="center" vertical="center"/>
    </xf>
    <xf numFmtId="0" fontId="64" fillId="0" borderId="35" xfId="0" applyFont="1" applyBorder="1" applyAlignment="1">
      <alignment horizontal="left" vertical="center" wrapText="1"/>
    </xf>
    <xf numFmtId="9" fontId="64" fillId="0" borderId="35" xfId="2" applyFont="1" applyFill="1" applyBorder="1" applyAlignment="1">
      <alignment horizontal="left" vertical="center" wrapText="1"/>
    </xf>
    <xf numFmtId="9" fontId="64" fillId="0" borderId="35" xfId="2" applyFont="1" applyFill="1" applyBorder="1" applyAlignment="1">
      <alignment horizontal="center" vertical="center"/>
    </xf>
    <xf numFmtId="9" fontId="64" fillId="0" borderId="35" xfId="2" applyFont="1" applyFill="1" applyBorder="1" applyAlignment="1">
      <alignment horizontal="center" vertical="center" wrapText="1"/>
    </xf>
    <xf numFmtId="0" fontId="47" fillId="0" borderId="0" xfId="0" applyFont="1"/>
    <xf numFmtId="0" fontId="68" fillId="0" borderId="0" xfId="5" applyFont="1"/>
    <xf numFmtId="3" fontId="9" fillId="0" borderId="99" xfId="0" applyNumberFormat="1" applyFont="1" applyBorder="1" applyAlignment="1">
      <alignment horizontal="center" vertical="center"/>
    </xf>
    <xf numFmtId="0" fontId="16" fillId="8" borderId="0" xfId="0" applyFont="1" applyFill="1" applyAlignment="1">
      <alignment vertical="center"/>
    </xf>
    <xf numFmtId="0" fontId="20" fillId="8" borderId="0" xfId="0" applyFont="1" applyFill="1"/>
    <xf numFmtId="0" fontId="36" fillId="8" borderId="0" xfId="0" applyFont="1" applyFill="1"/>
    <xf numFmtId="0" fontId="58" fillId="0" borderId="0" xfId="0" applyFont="1"/>
    <xf numFmtId="171" fontId="58" fillId="0" borderId="0" xfId="0" applyNumberFormat="1" applyFont="1"/>
    <xf numFmtId="0" fontId="28" fillId="0" borderId="0" xfId="0" applyFont="1" applyAlignment="1">
      <alignment horizontal="center" vertical="center" wrapText="1"/>
    </xf>
    <xf numFmtId="1" fontId="14" fillId="0" borderId="0" xfId="3" applyNumberFormat="1" applyFont="1" applyFill="1" applyBorder="1" applyAlignment="1">
      <alignment horizontal="center" vertical="top" wrapText="1"/>
    </xf>
    <xf numFmtId="1" fontId="15" fillId="0" borderId="0" xfId="0" applyNumberFormat="1" applyFont="1"/>
    <xf numFmtId="0" fontId="59" fillId="0" borderId="0" xfId="0" applyFont="1"/>
    <xf numFmtId="0" fontId="29" fillId="18" borderId="99" xfId="0" applyFont="1" applyFill="1" applyBorder="1" applyAlignment="1">
      <alignment horizontal="center" vertical="center"/>
    </xf>
    <xf numFmtId="0" fontId="29" fillId="18" borderId="99" xfId="0" applyFont="1" applyFill="1" applyBorder="1" applyAlignment="1">
      <alignment horizontal="center" vertical="center" wrapText="1"/>
    </xf>
    <xf numFmtId="0" fontId="10" fillId="0" borderId="0" xfId="0" applyFont="1"/>
    <xf numFmtId="0" fontId="14" fillId="0" borderId="99" xfId="3" applyFont="1" applyBorder="1" applyAlignment="1">
      <alignment horizontal="center" vertical="center" wrapText="1"/>
    </xf>
    <xf numFmtId="165" fontId="9" fillId="0" borderId="99" xfId="0" applyNumberFormat="1" applyFont="1" applyBorder="1" applyAlignment="1">
      <alignment horizontal="center" vertical="center"/>
    </xf>
    <xf numFmtId="165" fontId="2" fillId="0" borderId="99" xfId="0" applyNumberFormat="1" applyFont="1" applyBorder="1" applyAlignment="1">
      <alignment horizontal="center" vertical="center" wrapText="1"/>
    </xf>
    <xf numFmtId="165" fontId="2" fillId="0" borderId="99" xfId="0" applyNumberFormat="1" applyFont="1" applyBorder="1" applyAlignment="1">
      <alignment horizontal="center" vertical="center"/>
    </xf>
    <xf numFmtId="0" fontId="56" fillId="0" borderId="99" xfId="0" applyFont="1" applyBorder="1" applyAlignment="1">
      <alignment horizontal="center" vertical="center"/>
    </xf>
    <xf numFmtId="0" fontId="50" fillId="0" borderId="0" xfId="0" applyFont="1" applyAlignment="1">
      <alignment horizontal="right" vertical="center"/>
    </xf>
    <xf numFmtId="0" fontId="41" fillId="0" borderId="0" xfId="0" applyFont="1" applyAlignment="1">
      <alignment horizontal="center" vertical="center" wrapText="1"/>
    </xf>
    <xf numFmtId="0" fontId="12" fillId="6" borderId="92" xfId="5" applyFill="1" applyBorder="1" applyAlignment="1">
      <alignment horizontal="center" vertical="center" wrapText="1"/>
    </xf>
    <xf numFmtId="0" fontId="38" fillId="0" borderId="0" xfId="0" applyFont="1"/>
    <xf numFmtId="1" fontId="28" fillId="0" borderId="0" xfId="0" applyNumberFormat="1" applyFont="1" applyAlignment="1">
      <alignment horizontal="left"/>
    </xf>
    <xf numFmtId="9" fontId="9" fillId="0" borderId="35" xfId="0" applyNumberFormat="1" applyFont="1" applyBorder="1" applyAlignment="1">
      <alignment horizontal="center"/>
    </xf>
    <xf numFmtId="170" fontId="9" fillId="0" borderId="2" xfId="0" applyNumberFormat="1" applyFont="1" applyBorder="1" applyAlignment="1">
      <alignment vertical="center"/>
    </xf>
    <xf numFmtId="0" fontId="9" fillId="0" borderId="11" xfId="0" applyFont="1" applyBorder="1" applyAlignment="1">
      <alignment vertical="center" wrapText="1"/>
    </xf>
    <xf numFmtId="0" fontId="9" fillId="0" borderId="11" xfId="0" applyFont="1" applyBorder="1" applyAlignment="1">
      <alignment horizontal="right" vertical="center"/>
    </xf>
    <xf numFmtId="170" fontId="2" fillId="0" borderId="2" xfId="0" applyNumberFormat="1" applyFont="1" applyBorder="1" applyAlignment="1">
      <alignment vertical="center"/>
    </xf>
    <xf numFmtId="169" fontId="9" fillId="0" borderId="11" xfId="6" applyNumberFormat="1" applyFont="1" applyBorder="1" applyAlignment="1">
      <alignment horizontal="right" vertical="center"/>
    </xf>
    <xf numFmtId="0" fontId="9" fillId="0" borderId="12" xfId="0" applyFont="1" applyBorder="1" applyAlignment="1">
      <alignment vertical="center"/>
    </xf>
    <xf numFmtId="0" fontId="9" fillId="0" borderId="15" xfId="0" applyFont="1" applyBorder="1" applyAlignment="1">
      <alignment vertical="center"/>
    </xf>
    <xf numFmtId="169" fontId="9" fillId="0" borderId="15" xfId="6" applyNumberFormat="1" applyFont="1" applyBorder="1" applyAlignment="1">
      <alignment horizontal="right" vertical="center"/>
    </xf>
    <xf numFmtId="170" fontId="2" fillId="11" borderId="11" xfId="0" applyNumberFormat="1" applyFont="1" applyFill="1" applyBorder="1" applyAlignment="1">
      <alignment vertical="center"/>
    </xf>
    <xf numFmtId="1" fontId="14" fillId="0" borderId="35" xfId="3" applyNumberFormat="1" applyFont="1" applyBorder="1" applyAlignment="1">
      <alignment horizontal="left" vertical="center" wrapText="1"/>
    </xf>
    <xf numFmtId="169" fontId="9" fillId="0" borderId="35" xfId="6" applyNumberFormat="1" applyFont="1" applyBorder="1" applyAlignment="1">
      <alignment horizontal="left" vertical="center" wrapText="1"/>
    </xf>
    <xf numFmtId="169" fontId="9" fillId="0" borderId="35" xfId="6" applyNumberFormat="1" applyFont="1" applyBorder="1" applyAlignment="1">
      <alignment horizontal="left" vertical="center"/>
    </xf>
    <xf numFmtId="0" fontId="9" fillId="0" borderId="35" xfId="0" applyFont="1" applyBorder="1"/>
    <xf numFmtId="43" fontId="9" fillId="0" borderId="35" xfId="0" applyNumberFormat="1" applyFont="1" applyBorder="1"/>
    <xf numFmtId="0" fontId="9" fillId="0" borderId="35" xfId="0" quotePrefix="1" applyFont="1" applyBorder="1"/>
    <xf numFmtId="0" fontId="2" fillId="0" borderId="35" xfId="0" applyFont="1" applyBorder="1"/>
    <xf numFmtId="0" fontId="35" fillId="0" borderId="35" xfId="0" quotePrefix="1" applyFont="1" applyBorder="1" applyAlignment="1">
      <alignment horizontal="left" vertical="top"/>
    </xf>
    <xf numFmtId="0" fontId="22" fillId="10" borderId="35" xfId="0" applyFont="1" applyFill="1" applyBorder="1" applyAlignment="1">
      <alignment horizontal="left" vertical="center" wrapText="1"/>
    </xf>
    <xf numFmtId="0" fontId="22" fillId="10" borderId="35" xfId="0" applyFont="1" applyFill="1" applyBorder="1" applyAlignment="1">
      <alignment vertical="center" wrapText="1"/>
    </xf>
    <xf numFmtId="0" fontId="9" fillId="0" borderId="35" xfId="0" applyFont="1" applyBorder="1" applyAlignment="1">
      <alignment horizontal="left" vertical="center" wrapText="1"/>
    </xf>
    <xf numFmtId="169" fontId="9" fillId="0" borderId="35" xfId="0" applyNumberFormat="1" applyFont="1" applyBorder="1" applyAlignment="1">
      <alignment vertical="center"/>
    </xf>
    <xf numFmtId="1" fontId="9" fillId="0" borderId="35" xfId="0" applyNumberFormat="1" applyFont="1" applyBorder="1" applyAlignment="1">
      <alignment horizontal="right" vertical="center"/>
    </xf>
    <xf numFmtId="0" fontId="9" fillId="6" borderId="35" xfId="0" applyFont="1" applyFill="1" applyBorder="1" applyAlignment="1">
      <alignment vertical="center"/>
    </xf>
    <xf numFmtId="0" fontId="14" fillId="0" borderId="35" xfId="3" applyFont="1" applyBorder="1" applyAlignment="1">
      <alignment horizontal="left" vertical="center" wrapText="1"/>
    </xf>
    <xf numFmtId="0" fontId="9" fillId="0" borderId="35" xfId="0" applyFont="1" applyBorder="1" applyAlignment="1">
      <alignment vertical="center"/>
    </xf>
    <xf numFmtId="2" fontId="9" fillId="6" borderId="35" xfId="0" applyNumberFormat="1" applyFont="1" applyFill="1" applyBorder="1" applyAlignment="1">
      <alignment horizontal="center" vertical="center"/>
    </xf>
    <xf numFmtId="0" fontId="9" fillId="20" borderId="22" xfId="0" applyFont="1" applyFill="1" applyBorder="1" applyAlignment="1">
      <alignment horizontal="center" vertical="center"/>
    </xf>
    <xf numFmtId="0" fontId="9" fillId="21" borderId="22" xfId="0" applyFont="1" applyFill="1" applyBorder="1" applyAlignment="1">
      <alignment horizontal="center" vertical="center"/>
    </xf>
    <xf numFmtId="0" fontId="2" fillId="21" borderId="26" xfId="0" applyFont="1" applyFill="1" applyBorder="1" applyAlignment="1">
      <alignment horizontal="center" vertical="center"/>
    </xf>
    <xf numFmtId="0" fontId="9" fillId="21" borderId="26" xfId="0" applyFont="1" applyFill="1" applyBorder="1" applyAlignment="1">
      <alignment horizontal="center" vertical="center"/>
    </xf>
    <xf numFmtId="168" fontId="9" fillId="21" borderId="22" xfId="0" applyNumberFormat="1" applyFont="1" applyFill="1" applyBorder="1" applyAlignment="1">
      <alignment horizontal="center" vertical="center"/>
    </xf>
    <xf numFmtId="168" fontId="9" fillId="21" borderId="28" xfId="0" applyNumberFormat="1" applyFont="1" applyFill="1" applyBorder="1" applyAlignment="1">
      <alignment horizontal="center" vertical="center"/>
    </xf>
    <xf numFmtId="0" fontId="2" fillId="21" borderId="22" xfId="0" applyFont="1" applyFill="1" applyBorder="1" applyAlignment="1">
      <alignment horizontal="center" vertical="center"/>
    </xf>
    <xf numFmtId="0" fontId="2" fillId="21" borderId="22" xfId="0" applyFont="1" applyFill="1" applyBorder="1" applyAlignment="1">
      <alignment horizontal="center" vertical="center" wrapText="1"/>
    </xf>
    <xf numFmtId="168" fontId="2" fillId="21" borderId="22" xfId="0" applyNumberFormat="1" applyFont="1" applyFill="1" applyBorder="1" applyAlignment="1">
      <alignment horizontal="center" vertical="center"/>
    </xf>
    <xf numFmtId="0" fontId="9" fillId="21" borderId="26" xfId="0" applyFont="1" applyFill="1" applyBorder="1" applyAlignment="1">
      <alignment horizontal="center" vertical="center" wrapText="1"/>
    </xf>
    <xf numFmtId="0" fontId="9" fillId="3" borderId="22" xfId="0" applyFont="1" applyFill="1" applyBorder="1" applyAlignment="1">
      <alignment horizontal="center" vertical="center"/>
    </xf>
    <xf numFmtId="0" fontId="9" fillId="3" borderId="26" xfId="0" applyFont="1" applyFill="1" applyBorder="1" applyAlignment="1">
      <alignment horizontal="center" vertical="center"/>
    </xf>
    <xf numFmtId="168" fontId="9" fillId="3" borderId="22" xfId="0" applyNumberFormat="1" applyFont="1" applyFill="1" applyBorder="1" applyAlignment="1">
      <alignment horizontal="center" vertical="center"/>
    </xf>
    <xf numFmtId="168" fontId="9" fillId="3" borderId="28" xfId="0" applyNumberFormat="1" applyFont="1" applyFill="1" applyBorder="1" applyAlignment="1">
      <alignment horizontal="center" vertical="center"/>
    </xf>
    <xf numFmtId="0" fontId="9" fillId="7" borderId="25" xfId="0" applyFont="1" applyFill="1" applyBorder="1" applyAlignment="1">
      <alignment horizontal="center" vertical="center"/>
    </xf>
    <xf numFmtId="0" fontId="9" fillId="7" borderId="30" xfId="0" applyFont="1" applyFill="1" applyBorder="1" applyAlignment="1">
      <alignment horizontal="center" vertical="center"/>
    </xf>
    <xf numFmtId="0" fontId="9" fillId="7" borderId="26" xfId="0" applyFont="1" applyFill="1" applyBorder="1" applyAlignment="1">
      <alignment horizontal="center" vertical="center"/>
    </xf>
    <xf numFmtId="168" fontId="9" fillId="7" borderId="22" xfId="0" applyNumberFormat="1" applyFont="1" applyFill="1" applyBorder="1" applyAlignment="1">
      <alignment horizontal="center" vertical="center"/>
    </xf>
    <xf numFmtId="168" fontId="9" fillId="7" borderId="28" xfId="0" applyNumberFormat="1" applyFont="1" applyFill="1" applyBorder="1" applyAlignment="1">
      <alignment horizontal="center" vertical="center"/>
    </xf>
    <xf numFmtId="168" fontId="9" fillId="11" borderId="28" xfId="0" applyNumberFormat="1" applyFont="1" applyFill="1" applyBorder="1" applyAlignment="1">
      <alignment horizontal="center" vertical="center"/>
    </xf>
    <xf numFmtId="0" fontId="2" fillId="7" borderId="22" xfId="0" applyFont="1" applyFill="1" applyBorder="1" applyAlignment="1">
      <alignment horizontal="center" vertical="center" wrapText="1"/>
    </xf>
    <xf numFmtId="0" fontId="9" fillId="7" borderId="22" xfId="0" applyFont="1" applyFill="1" applyBorder="1" applyAlignment="1">
      <alignment horizontal="center" vertical="center"/>
    </xf>
    <xf numFmtId="0" fontId="2" fillId="3" borderId="22" xfId="0" applyFont="1" applyFill="1" applyBorder="1" applyAlignment="1">
      <alignment horizontal="center" vertical="center" wrapText="1"/>
    </xf>
    <xf numFmtId="168" fontId="2" fillId="3" borderId="22" xfId="0" applyNumberFormat="1" applyFont="1" applyFill="1" applyBorder="1" applyAlignment="1">
      <alignment horizontal="center" vertical="center"/>
    </xf>
    <xf numFmtId="0" fontId="9" fillId="3" borderId="26" xfId="0" applyFont="1" applyFill="1" applyBorder="1" applyAlignment="1">
      <alignment horizontal="center" vertical="center" wrapText="1"/>
    </xf>
    <xf numFmtId="0" fontId="2" fillId="3" borderId="22" xfId="0" applyFont="1" applyFill="1" applyBorder="1" applyAlignment="1">
      <alignment horizontal="center" vertical="center"/>
    </xf>
    <xf numFmtId="0" fontId="2" fillId="3" borderId="26" xfId="0" applyFont="1" applyFill="1" applyBorder="1" applyAlignment="1">
      <alignment horizontal="center" vertical="center"/>
    </xf>
    <xf numFmtId="0" fontId="2" fillId="7" borderId="22" xfId="0" applyFont="1" applyFill="1" applyBorder="1" applyAlignment="1">
      <alignment horizontal="center" vertical="center"/>
    </xf>
    <xf numFmtId="0" fontId="2" fillId="7" borderId="26" xfId="0" applyFont="1" applyFill="1" applyBorder="1" applyAlignment="1">
      <alignment horizontal="center" vertical="center"/>
    </xf>
    <xf numFmtId="168" fontId="2" fillId="7" borderId="22" xfId="0" applyNumberFormat="1" applyFont="1" applyFill="1" applyBorder="1" applyAlignment="1">
      <alignment horizontal="center" vertical="center"/>
    </xf>
    <xf numFmtId="0" fontId="9" fillId="7" borderId="26" xfId="0" applyFont="1" applyFill="1" applyBorder="1" applyAlignment="1">
      <alignment horizontal="center" vertical="center" wrapText="1"/>
    </xf>
    <xf numFmtId="0" fontId="2" fillId="0" borderId="25" xfId="0" applyFont="1" applyBorder="1" applyAlignment="1">
      <alignment horizontal="center" vertical="center"/>
    </xf>
    <xf numFmtId="0" fontId="9" fillId="0" borderId="35" xfId="4" applyBorder="1" applyAlignment="1">
      <alignment horizontal="center" vertical="center"/>
    </xf>
    <xf numFmtId="0" fontId="12" fillId="0" borderId="0" xfId="5" applyAlignment="1"/>
    <xf numFmtId="0" fontId="2" fillId="0" borderId="2" xfId="0" applyFont="1" applyBorder="1" applyAlignment="1">
      <alignment horizontal="center" vertical="center"/>
    </xf>
    <xf numFmtId="0" fontId="23" fillId="10" borderId="99" xfId="0" applyFont="1" applyFill="1" applyBorder="1" applyAlignment="1">
      <alignment horizontal="center" vertical="center" wrapText="1"/>
    </xf>
    <xf numFmtId="1" fontId="2" fillId="0" borderId="99" xfId="7" applyNumberFormat="1" applyFont="1" applyBorder="1" applyAlignment="1">
      <alignment horizontal="center" vertical="center"/>
    </xf>
    <xf numFmtId="1" fontId="24" fillId="0" borderId="99" xfId="7" applyNumberFormat="1" applyFont="1" applyBorder="1" applyAlignment="1">
      <alignment horizontal="center" vertical="center"/>
    </xf>
    <xf numFmtId="1" fontId="24" fillId="0" borderId="99" xfId="7" quotePrefix="1" applyNumberFormat="1" applyFont="1" applyBorder="1" applyAlignment="1">
      <alignment horizontal="center" vertical="center"/>
    </xf>
    <xf numFmtId="1" fontId="2" fillId="0" borderId="99" xfId="7" quotePrefix="1" applyNumberFormat="1" applyFont="1" applyBorder="1" applyAlignment="1">
      <alignment horizontal="center" vertical="center"/>
    </xf>
    <xf numFmtId="0" fontId="22" fillId="10" borderId="99" xfId="0" applyFont="1" applyFill="1" applyBorder="1" applyAlignment="1">
      <alignment horizontal="left" vertical="center"/>
    </xf>
    <xf numFmtId="0" fontId="22" fillId="10" borderId="99" xfId="0" applyFont="1" applyFill="1" applyBorder="1" applyAlignment="1">
      <alignment horizontal="center" vertical="center"/>
    </xf>
    <xf numFmtId="0" fontId="14" fillId="0" borderId="99" xfId="3" applyFont="1" applyBorder="1" applyAlignment="1">
      <alignment horizontal="left" vertical="center" wrapText="1"/>
    </xf>
    <xf numFmtId="3" fontId="9" fillId="0" borderId="99" xfId="7" applyNumberFormat="1" applyFont="1" applyBorder="1" applyAlignment="1">
      <alignment horizontal="center" vertical="center"/>
    </xf>
    <xf numFmtId="0" fontId="14" fillId="0" borderId="99" xfId="0" applyFont="1" applyBorder="1" applyAlignment="1">
      <alignment horizontal="center" vertical="center" wrapText="1"/>
    </xf>
    <xf numFmtId="0" fontId="14" fillId="0" borderId="99" xfId="3" applyFont="1" applyFill="1" applyBorder="1" applyAlignment="1">
      <alignment horizontal="left" vertical="center" wrapText="1"/>
    </xf>
    <xf numFmtId="3" fontId="9" fillId="0" borderId="99" xfId="7" applyNumberFormat="1" applyFont="1" applyBorder="1" applyAlignment="1">
      <alignment horizontal="left" vertical="center"/>
    </xf>
    <xf numFmtId="0" fontId="14" fillId="16" borderId="99" xfId="3" applyFont="1" applyFill="1" applyBorder="1" applyAlignment="1">
      <alignment horizontal="left" vertical="center" wrapText="1"/>
    </xf>
    <xf numFmtId="3" fontId="9" fillId="16" borderId="99" xfId="7" applyNumberFormat="1" applyFont="1" applyFill="1" applyBorder="1" applyAlignment="1">
      <alignment horizontal="center" vertical="center"/>
    </xf>
    <xf numFmtId="0" fontId="14" fillId="16" borderId="99" xfId="0" applyFont="1" applyFill="1" applyBorder="1" applyAlignment="1">
      <alignment horizontal="center" vertical="center" wrapText="1"/>
    </xf>
    <xf numFmtId="1" fontId="2" fillId="16" borderId="99" xfId="7" quotePrefix="1" applyNumberFormat="1" applyFont="1" applyFill="1" applyBorder="1" applyAlignment="1">
      <alignment horizontal="center" vertical="center"/>
    </xf>
    <xf numFmtId="1" fontId="2" fillId="16" borderId="99" xfId="7" applyNumberFormat="1" applyFont="1" applyFill="1" applyBorder="1" applyAlignment="1">
      <alignment horizontal="center" vertical="center"/>
    </xf>
    <xf numFmtId="3" fontId="14" fillId="0" borderId="99" xfId="3" applyNumberFormat="1" applyFont="1" applyFill="1" applyBorder="1" applyAlignment="1">
      <alignment horizontal="center" vertical="center" wrapText="1"/>
    </xf>
    <xf numFmtId="3" fontId="14" fillId="0" borderId="99" xfId="3" applyNumberFormat="1" applyFont="1" applyBorder="1" applyAlignment="1">
      <alignment horizontal="center" vertical="center" wrapText="1"/>
    </xf>
    <xf numFmtId="0" fontId="22" fillId="10" borderId="99" xfId="0" applyFont="1" applyFill="1" applyBorder="1" applyAlignment="1">
      <alignment vertical="center"/>
    </xf>
    <xf numFmtId="0" fontId="9" fillId="0" borderId="99" xfId="0" applyFont="1" applyBorder="1" applyAlignment="1">
      <alignment vertical="center"/>
    </xf>
    <xf numFmtId="0" fontId="2" fillId="0" borderId="99" xfId="1" applyBorder="1" applyAlignment="1">
      <alignment vertical="center" wrapText="1"/>
    </xf>
    <xf numFmtId="3" fontId="2" fillId="0" borderId="99" xfId="1" applyNumberFormat="1" applyBorder="1" applyAlignment="1">
      <alignment horizontal="center" vertical="center" wrapText="1"/>
    </xf>
    <xf numFmtId="166" fontId="2" fillId="0" borderId="99" xfId="1" applyNumberFormat="1" applyBorder="1" applyAlignment="1">
      <alignment horizontal="center" vertical="center" wrapText="1"/>
    </xf>
    <xf numFmtId="0" fontId="9" fillId="0" borderId="99" xfId="0" applyFont="1" applyBorder="1" applyAlignment="1">
      <alignment horizontal="left" vertical="center"/>
    </xf>
    <xf numFmtId="0" fontId="2" fillId="0" borderId="99" xfId="1" applyBorder="1" applyAlignment="1">
      <alignment vertical="center"/>
    </xf>
    <xf numFmtId="9" fontId="9" fillId="0" borderId="99" xfId="0" applyNumberFormat="1" applyFont="1" applyBorder="1" applyAlignment="1">
      <alignment horizontal="center" vertical="center" wrapText="1"/>
    </xf>
    <xf numFmtId="0" fontId="2" fillId="0" borderId="99" xfId="1" quotePrefix="1" applyBorder="1" applyAlignment="1">
      <alignment horizontal="center" vertical="center" wrapText="1"/>
    </xf>
    <xf numFmtId="164" fontId="9" fillId="16" borderId="99" xfId="2" applyNumberFormat="1" applyFont="1" applyFill="1" applyBorder="1" applyAlignment="1">
      <alignment horizontal="center" vertical="center"/>
    </xf>
    <xf numFmtId="164" fontId="9" fillId="0" borderId="99" xfId="2" applyNumberFormat="1" applyFont="1" applyBorder="1" applyAlignment="1">
      <alignment horizontal="center" vertical="center"/>
    </xf>
    <xf numFmtId="1" fontId="24" fillId="0" borderId="0" xfId="7" applyNumberFormat="1" applyFont="1" applyAlignment="1">
      <alignment horizontal="center" vertical="center"/>
    </xf>
    <xf numFmtId="1" fontId="24" fillId="0" borderId="0" xfId="7" quotePrefix="1" applyNumberFormat="1" applyFont="1" applyAlignment="1">
      <alignment horizontal="center" vertical="center"/>
    </xf>
    <xf numFmtId="1" fontId="2" fillId="0" borderId="0" xfId="7" quotePrefix="1" applyNumberFormat="1" applyFont="1" applyAlignment="1">
      <alignment horizontal="center" vertical="center"/>
    </xf>
    <xf numFmtId="0" fontId="9" fillId="0" borderId="99" xfId="3" applyFont="1" applyBorder="1" applyAlignment="1">
      <alignment horizontal="left" vertical="center" wrapText="1"/>
    </xf>
    <xf numFmtId="0" fontId="9" fillId="16" borderId="99" xfId="3" applyFont="1" applyFill="1" applyBorder="1" applyAlignment="1">
      <alignment horizontal="left" vertical="center" wrapText="1"/>
    </xf>
    <xf numFmtId="0" fontId="9" fillId="0" borderId="99" xfId="0" applyFont="1" applyBorder="1"/>
    <xf numFmtId="0" fontId="9" fillId="0" borderId="99" xfId="0" applyFont="1" applyBorder="1" applyAlignment="1">
      <alignment wrapText="1"/>
    </xf>
    <xf numFmtId="0" fontId="11" fillId="18" borderId="101" xfId="0" applyFont="1" applyFill="1" applyBorder="1" applyAlignment="1">
      <alignment horizontal="center" vertical="center"/>
    </xf>
    <xf numFmtId="0" fontId="11" fillId="18" borderId="99" xfId="0" applyFont="1" applyFill="1" applyBorder="1" applyAlignment="1">
      <alignment horizontal="center" vertical="center" wrapText="1"/>
    </xf>
    <xf numFmtId="0" fontId="59" fillId="6" borderId="105" xfId="0" applyFont="1" applyFill="1" applyBorder="1" applyAlignment="1">
      <alignment horizontal="left" vertical="center"/>
    </xf>
    <xf numFmtId="0" fontId="9" fillId="6" borderId="108" xfId="0" applyFont="1" applyFill="1" applyBorder="1" applyAlignment="1">
      <alignment horizontal="left" vertical="center"/>
    </xf>
    <xf numFmtId="0" fontId="9" fillId="6" borderId="108" xfId="0" applyFont="1" applyFill="1" applyBorder="1" applyAlignment="1">
      <alignment vertical="center"/>
    </xf>
    <xf numFmtId="0" fontId="28" fillId="6" borderId="108" xfId="0" applyFont="1" applyFill="1" applyBorder="1" applyAlignment="1">
      <alignment horizontal="center" vertical="center" wrapText="1"/>
    </xf>
    <xf numFmtId="0" fontId="9" fillId="6" borderId="108" xfId="0" applyFont="1" applyFill="1" applyBorder="1"/>
    <xf numFmtId="0" fontId="9" fillId="6" borderId="106" xfId="0" applyFont="1" applyFill="1" applyBorder="1"/>
    <xf numFmtId="9" fontId="9" fillId="6" borderId="0" xfId="0" applyNumberFormat="1" applyFont="1" applyFill="1"/>
    <xf numFmtId="0" fontId="59" fillId="6" borderId="100" xfId="0" applyFont="1" applyFill="1" applyBorder="1" applyAlignment="1">
      <alignment horizontal="left" vertical="center"/>
    </xf>
    <xf numFmtId="0" fontId="15" fillId="0" borderId="99" xfId="0" applyFont="1" applyBorder="1"/>
    <xf numFmtId="0" fontId="15" fillId="0" borderId="99" xfId="0" applyFont="1" applyBorder="1" applyAlignment="1">
      <alignment horizontal="center" vertical="center"/>
    </xf>
    <xf numFmtId="169" fontId="9" fillId="6" borderId="35" xfId="6" applyNumberFormat="1" applyFont="1" applyFill="1" applyBorder="1" applyAlignment="1">
      <alignment horizontal="right" vertical="center"/>
    </xf>
    <xf numFmtId="0" fontId="9" fillId="6" borderId="99" xfId="0" applyFont="1" applyFill="1" applyBorder="1" applyAlignment="1">
      <alignment vertical="center"/>
    </xf>
    <xf numFmtId="169" fontId="9" fillId="0" borderId="99" xfId="0" applyNumberFormat="1" applyFont="1" applyBorder="1"/>
    <xf numFmtId="0" fontId="29" fillId="10" borderId="99" xfId="0" applyFont="1" applyFill="1" applyBorder="1" applyAlignment="1">
      <alignment horizontal="center" vertical="center" wrapText="1"/>
    </xf>
    <xf numFmtId="2" fontId="9" fillId="0" borderId="0" xfId="0" applyNumberFormat="1" applyFont="1" applyAlignment="1">
      <alignment horizontal="center" vertical="center" wrapText="1"/>
    </xf>
    <xf numFmtId="2" fontId="9" fillId="0" borderId="99" xfId="0" applyNumberFormat="1" applyFont="1" applyBorder="1" applyAlignment="1">
      <alignment horizontal="center" vertical="center" wrapText="1"/>
    </xf>
    <xf numFmtId="2" fontId="2" fillId="0" borderId="99" xfId="0" applyNumberFormat="1" applyFont="1" applyBorder="1" applyAlignment="1">
      <alignment horizontal="center" vertical="center" wrapText="1"/>
    </xf>
    <xf numFmtId="0" fontId="25" fillId="0" borderId="99" xfId="0" applyFont="1" applyBorder="1"/>
    <xf numFmtId="0" fontId="9" fillId="0" borderId="99" xfId="0" applyFont="1" applyBorder="1" applyAlignment="1">
      <alignment horizontal="center" vertical="top" wrapText="1"/>
    </xf>
    <xf numFmtId="0" fontId="15" fillId="0" borderId="0" xfId="0" applyFont="1" applyAlignment="1">
      <alignment vertical="center" wrapText="1"/>
    </xf>
    <xf numFmtId="0" fontId="31" fillId="0" borderId="0" xfId="0" applyFont="1" applyAlignment="1">
      <alignment vertical="center"/>
    </xf>
    <xf numFmtId="169" fontId="9" fillId="0" borderId="99" xfId="6" applyNumberFormat="1" applyFont="1" applyBorder="1" applyAlignment="1">
      <alignment horizontal="center" vertical="center"/>
    </xf>
    <xf numFmtId="0" fontId="2" fillId="0" borderId="97" xfId="0" applyFont="1" applyBorder="1" applyAlignment="1">
      <alignment horizontal="center" vertical="center"/>
    </xf>
    <xf numFmtId="43" fontId="9" fillId="0" borderId="35" xfId="6" applyFont="1" applyFill="1" applyBorder="1"/>
    <xf numFmtId="43" fontId="9" fillId="0" borderId="35" xfId="6" applyFont="1" applyBorder="1"/>
    <xf numFmtId="3" fontId="9" fillId="0" borderId="99" xfId="7" applyNumberFormat="1" applyFont="1" applyBorder="1" applyAlignment="1">
      <alignment vertical="center"/>
    </xf>
    <xf numFmtId="9" fontId="14" fillId="0" borderId="99" xfId="2" applyFont="1" applyBorder="1" applyAlignment="1">
      <alignment horizontal="center" vertical="center" wrapText="1"/>
    </xf>
    <xf numFmtId="2" fontId="9" fillId="0" borderId="0" xfId="0" applyNumberFormat="1" applyFont="1"/>
    <xf numFmtId="0" fontId="9" fillId="0" borderId="102" xfId="0" applyFont="1" applyBorder="1" applyAlignment="1">
      <alignment horizontal="center" vertical="center" wrapText="1"/>
    </xf>
    <xf numFmtId="2" fontId="9" fillId="0" borderId="2" xfId="0" applyNumberFormat="1" applyFont="1" applyBorder="1" applyAlignment="1">
      <alignment horizontal="center" vertical="center"/>
    </xf>
    <xf numFmtId="0" fontId="2" fillId="0" borderId="98" xfId="0" applyFont="1" applyBorder="1" applyAlignment="1">
      <alignment horizontal="center" vertical="center"/>
    </xf>
    <xf numFmtId="0" fontId="2" fillId="0" borderId="18" xfId="0" applyFont="1" applyBorder="1" applyAlignment="1">
      <alignment horizontal="center" vertical="center"/>
    </xf>
    <xf numFmtId="0" fontId="2" fillId="0" borderId="19" xfId="0" applyFont="1" applyBorder="1" applyAlignment="1">
      <alignment horizontal="center" vertical="center"/>
    </xf>
    <xf numFmtId="0" fontId="2" fillId="0" borderId="3" xfId="0" applyFont="1" applyBorder="1" applyAlignment="1">
      <alignment horizontal="center" vertical="center"/>
    </xf>
    <xf numFmtId="0" fontId="28" fillId="0" borderId="109" xfId="0" applyFont="1" applyBorder="1" applyAlignment="1">
      <alignment vertical="center" wrapText="1"/>
    </xf>
    <xf numFmtId="3" fontId="28" fillId="0" borderId="109" xfId="0" applyNumberFormat="1" applyFont="1" applyBorder="1" applyAlignment="1">
      <alignment vertical="center"/>
    </xf>
    <xf numFmtId="0" fontId="28" fillId="0" borderId="109" xfId="0" applyFont="1" applyBorder="1" applyAlignment="1">
      <alignment vertical="center"/>
    </xf>
    <xf numFmtId="0" fontId="11" fillId="0" borderId="0" xfId="0" applyFont="1" applyAlignment="1">
      <alignment horizontal="center" vertical="center"/>
    </xf>
    <xf numFmtId="1" fontId="9" fillId="6" borderId="35" xfId="0" applyNumberFormat="1" applyFont="1" applyFill="1" applyBorder="1" applyAlignment="1">
      <alignment horizontal="right" vertical="center"/>
    </xf>
    <xf numFmtId="0" fontId="71" fillId="0" borderId="0" xfId="0" applyFont="1"/>
    <xf numFmtId="0" fontId="11" fillId="10" borderId="18" xfId="0" applyFont="1" applyFill="1" applyBorder="1" applyAlignment="1">
      <alignment horizontal="center"/>
    </xf>
    <xf numFmtId="0" fontId="11" fillId="4" borderId="18" xfId="0" applyFont="1" applyFill="1" applyBorder="1" applyAlignment="1">
      <alignment horizontal="center"/>
    </xf>
    <xf numFmtId="2" fontId="72" fillId="14" borderId="0" xfId="0" applyNumberFormat="1" applyFont="1" applyFill="1" applyAlignment="1">
      <alignment horizontal="right" vertical="center" wrapText="1"/>
    </xf>
    <xf numFmtId="2" fontId="72" fillId="14" borderId="0" xfId="0" applyNumberFormat="1" applyFont="1" applyFill="1"/>
    <xf numFmtId="9" fontId="2" fillId="0" borderId="2" xfId="2" applyFont="1" applyBorder="1"/>
    <xf numFmtId="2" fontId="2" fillId="0" borderId="2" xfId="0" applyNumberFormat="1" applyFont="1" applyBorder="1" applyAlignment="1">
      <alignment horizontal="right" vertical="center" wrapText="1"/>
    </xf>
    <xf numFmtId="9" fontId="2" fillId="0" borderId="2" xfId="2" applyFont="1" applyBorder="1" applyAlignment="1">
      <alignment horizontal="right" vertical="center" wrapText="1"/>
    </xf>
    <xf numFmtId="9" fontId="2" fillId="0" borderId="0" xfId="2" applyFont="1" applyBorder="1"/>
    <xf numFmtId="9" fontId="2" fillId="0" borderId="2" xfId="2" applyFont="1" applyBorder="1" applyAlignment="1">
      <alignment horizontal="right"/>
    </xf>
    <xf numFmtId="0" fontId="75" fillId="0" borderId="0" xfId="0" applyFont="1" applyAlignment="1">
      <alignment horizontal="right" vertical="center" wrapText="1"/>
    </xf>
    <xf numFmtId="9" fontId="15" fillId="0" borderId="0" xfId="2" applyFont="1" applyFill="1" applyBorder="1"/>
    <xf numFmtId="0" fontId="75" fillId="0" borderId="0" xfId="0" applyFont="1" applyAlignment="1">
      <alignment vertical="center" wrapText="1"/>
    </xf>
    <xf numFmtId="1" fontId="9" fillId="0" borderId="0" xfId="2" applyNumberFormat="1" applyFont="1"/>
    <xf numFmtId="1" fontId="2" fillId="0" borderId="2" xfId="0" applyNumberFormat="1" applyFont="1" applyBorder="1" applyAlignment="1">
      <alignment horizontal="right" vertical="center" wrapText="1"/>
    </xf>
    <xf numFmtId="1" fontId="28" fillId="0" borderId="2" xfId="0" applyNumberFormat="1" applyFont="1" applyBorder="1" applyAlignment="1">
      <alignment horizontal="right" vertical="center" wrapText="1"/>
    </xf>
    <xf numFmtId="1" fontId="28" fillId="0" borderId="12" xfId="0" applyNumberFormat="1" applyFont="1" applyBorder="1" applyAlignment="1">
      <alignment horizontal="right" vertical="center" wrapText="1"/>
    </xf>
    <xf numFmtId="1" fontId="9" fillId="14" borderId="0" xfId="0" applyNumberFormat="1" applyFont="1" applyFill="1"/>
    <xf numFmtId="1" fontId="72" fillId="14" borderId="0" xfId="0" applyNumberFormat="1" applyFont="1" applyFill="1" applyAlignment="1">
      <alignment horizontal="right" vertical="center" wrapText="1"/>
    </xf>
    <xf numFmtId="0" fontId="28" fillId="0" borderId="0" xfId="0" applyFont="1" applyAlignment="1">
      <alignment horizontal="right" vertical="center" wrapText="1"/>
    </xf>
    <xf numFmtId="1" fontId="2" fillId="0" borderId="18" xfId="0" applyNumberFormat="1" applyFont="1" applyBorder="1" applyAlignment="1">
      <alignment horizontal="right" vertical="center" wrapText="1"/>
    </xf>
    <xf numFmtId="2" fontId="2" fillId="0" borderId="18" xfId="0" applyNumberFormat="1" applyFont="1" applyBorder="1" applyAlignment="1">
      <alignment horizontal="right" vertical="center" wrapText="1"/>
    </xf>
    <xf numFmtId="1" fontId="9" fillId="0" borderId="0" xfId="6" applyNumberFormat="1" applyFont="1" applyAlignment="1">
      <alignment horizontal="center" vertical="center"/>
    </xf>
    <xf numFmtId="0" fontId="9" fillId="6" borderId="107" xfId="0" applyFont="1" applyFill="1" applyBorder="1" applyAlignment="1">
      <alignment vertical="center"/>
    </xf>
    <xf numFmtId="0" fontId="11" fillId="0" borderId="0" xfId="0" applyFont="1" applyAlignment="1">
      <alignment vertical="center"/>
    </xf>
    <xf numFmtId="0" fontId="27" fillId="0" borderId="120" xfId="0" applyFont="1" applyBorder="1" applyAlignment="1">
      <alignment horizontal="center" vertical="center"/>
    </xf>
    <xf numFmtId="2" fontId="27" fillId="0" borderId="99" xfId="0" applyNumberFormat="1" applyFont="1" applyBorder="1" applyAlignment="1">
      <alignment horizontal="center" vertical="center"/>
    </xf>
    <xf numFmtId="2" fontId="27" fillId="0" borderId="111" xfId="0" applyNumberFormat="1" applyFont="1" applyBorder="1" applyAlignment="1">
      <alignment horizontal="center" vertical="center"/>
    </xf>
    <xf numFmtId="2" fontId="27" fillId="0" borderId="112" xfId="0" applyNumberFormat="1" applyFont="1" applyBorder="1" applyAlignment="1">
      <alignment horizontal="center" vertical="center"/>
    </xf>
    <xf numFmtId="2" fontId="27" fillId="0" borderId="114" xfId="0" applyNumberFormat="1" applyFont="1" applyBorder="1" applyAlignment="1">
      <alignment horizontal="center" vertical="center"/>
    </xf>
    <xf numFmtId="2" fontId="27" fillId="0" borderId="116" xfId="0" applyNumberFormat="1" applyFont="1" applyBorder="1" applyAlignment="1">
      <alignment horizontal="center" vertical="center"/>
    </xf>
    <xf numFmtId="2" fontId="27" fillId="0" borderId="117" xfId="0" applyNumberFormat="1" applyFont="1" applyBorder="1" applyAlignment="1">
      <alignment horizontal="center" vertical="center"/>
    </xf>
    <xf numFmtId="0" fontId="27" fillId="0" borderId="121" xfId="0" applyFont="1" applyBorder="1" applyAlignment="1">
      <alignment horizontal="center" vertical="center"/>
    </xf>
    <xf numFmtId="0" fontId="27" fillId="0" borderId="104" xfId="0" applyFont="1" applyBorder="1" applyAlignment="1">
      <alignment horizontal="center" vertical="center"/>
    </xf>
    <xf numFmtId="0" fontId="27" fillId="0" borderId="122" xfId="0" applyFont="1" applyBorder="1" applyAlignment="1">
      <alignment horizontal="center" vertical="center"/>
    </xf>
    <xf numFmtId="0" fontId="27" fillId="0" borderId="123" xfId="0" applyFont="1" applyBorder="1" applyAlignment="1">
      <alignment horizontal="center" vertical="center"/>
    </xf>
    <xf numFmtId="0" fontId="27" fillId="0" borderId="112" xfId="0" applyFont="1" applyBorder="1" applyAlignment="1">
      <alignment horizontal="center" vertical="center"/>
    </xf>
    <xf numFmtId="0" fontId="27" fillId="0" borderId="114" xfId="0" applyFont="1" applyBorder="1" applyAlignment="1">
      <alignment horizontal="center" vertical="center"/>
    </xf>
    <xf numFmtId="0" fontId="27" fillId="0" borderId="117" xfId="0" applyFont="1" applyBorder="1" applyAlignment="1">
      <alignment horizontal="center" vertical="center"/>
    </xf>
    <xf numFmtId="0" fontId="23" fillId="0" borderId="0" xfId="0" applyFont="1" applyAlignment="1">
      <alignment vertical="center" wrapText="1"/>
    </xf>
    <xf numFmtId="0" fontId="14" fillId="0" borderId="102" xfId="3" applyFont="1" applyBorder="1" applyAlignment="1">
      <alignment horizontal="left" vertical="center" wrapText="1"/>
    </xf>
    <xf numFmtId="0" fontId="14" fillId="0" borderId="102" xfId="3" applyFont="1" applyFill="1" applyBorder="1" applyAlignment="1">
      <alignment horizontal="left" vertical="center" wrapText="1"/>
    </xf>
    <xf numFmtId="3" fontId="9" fillId="0" borderId="102" xfId="7" applyNumberFormat="1" applyFont="1" applyBorder="1" applyAlignment="1">
      <alignment horizontal="left" vertical="center"/>
    </xf>
    <xf numFmtId="0" fontId="14" fillId="16" borderId="102" xfId="3" applyFont="1" applyFill="1" applyBorder="1" applyAlignment="1">
      <alignment horizontal="left" vertical="center" wrapText="1"/>
    </xf>
    <xf numFmtId="3" fontId="9" fillId="0" borderId="104" xfId="7" applyNumberFormat="1" applyFont="1" applyBorder="1" applyAlignment="1">
      <alignment horizontal="center" vertical="center"/>
    </xf>
    <xf numFmtId="3" fontId="9" fillId="16" borderId="104" xfId="7" applyNumberFormat="1" applyFont="1" applyFill="1" applyBorder="1" applyAlignment="1">
      <alignment horizontal="center" vertical="center"/>
    </xf>
    <xf numFmtId="0" fontId="14" fillId="0" borderId="99" xfId="3" applyFont="1" applyFill="1" applyBorder="1" applyAlignment="1">
      <alignment horizontal="center" vertical="center" wrapText="1"/>
    </xf>
    <xf numFmtId="0" fontId="27" fillId="0" borderId="106" xfId="0" applyFont="1" applyBorder="1" applyAlignment="1">
      <alignment horizontal="center" vertical="center"/>
    </xf>
    <xf numFmtId="2" fontId="27" fillId="0" borderId="119" xfId="0" applyNumberFormat="1" applyFont="1" applyBorder="1" applyAlignment="1">
      <alignment horizontal="center" vertical="center"/>
    </xf>
    <xf numFmtId="2" fontId="27" fillId="0" borderId="120" xfId="0" applyNumberFormat="1" applyFont="1" applyBorder="1" applyAlignment="1">
      <alignment horizontal="center" vertical="center"/>
    </xf>
    <xf numFmtId="2" fontId="27" fillId="0" borderId="101" xfId="0" applyNumberFormat="1" applyFont="1" applyBorder="1" applyAlignment="1">
      <alignment horizontal="center" vertical="center"/>
    </xf>
    <xf numFmtId="2" fontId="27" fillId="0" borderId="124" xfId="0" applyNumberFormat="1" applyFont="1" applyBorder="1" applyAlignment="1">
      <alignment horizontal="center" vertical="center"/>
    </xf>
    <xf numFmtId="0" fontId="27" fillId="0" borderId="124" xfId="0" applyFont="1" applyBorder="1" applyAlignment="1">
      <alignment horizontal="center" vertical="center"/>
    </xf>
    <xf numFmtId="2" fontId="77" fillId="0" borderId="99" xfId="0" applyNumberFormat="1" applyFont="1" applyBorder="1" applyAlignment="1">
      <alignment horizontal="center" vertical="center"/>
    </xf>
    <xf numFmtId="0" fontId="27" fillId="0" borderId="129" xfId="0" applyFont="1" applyBorder="1" applyAlignment="1">
      <alignment horizontal="center" vertical="center"/>
    </xf>
    <xf numFmtId="0" fontId="27" fillId="0" borderId="131" xfId="0" applyFont="1" applyBorder="1" applyAlignment="1">
      <alignment horizontal="center" vertical="center"/>
    </xf>
    <xf numFmtId="0" fontId="27" fillId="0" borderId="135" xfId="0" applyFont="1" applyBorder="1" applyAlignment="1">
      <alignment horizontal="center" vertical="center"/>
    </xf>
    <xf numFmtId="0" fontId="27" fillId="0" borderId="137" xfId="0" applyFont="1" applyBorder="1" applyAlignment="1">
      <alignment horizontal="center" vertical="center"/>
    </xf>
    <xf numFmtId="2" fontId="27" fillId="0" borderId="138" xfId="0" applyNumberFormat="1" applyFont="1" applyBorder="1" applyAlignment="1">
      <alignment horizontal="center" vertical="center"/>
    </xf>
    <xf numFmtId="2" fontId="27" fillId="0" borderId="139" xfId="0" applyNumberFormat="1" applyFont="1" applyBorder="1" applyAlignment="1">
      <alignment horizontal="center" vertical="center"/>
    </xf>
    <xf numFmtId="2" fontId="27" fillId="0" borderId="140" xfId="0" applyNumberFormat="1" applyFont="1" applyBorder="1" applyAlignment="1">
      <alignment horizontal="center" vertical="center"/>
    </xf>
    <xf numFmtId="2" fontId="27" fillId="0" borderId="141" xfId="0" applyNumberFormat="1" applyFont="1" applyBorder="1" applyAlignment="1">
      <alignment horizontal="center" vertical="center"/>
    </xf>
    <xf numFmtId="1" fontId="27" fillId="0" borderId="99" xfId="0" applyNumberFormat="1" applyFont="1" applyBorder="1" applyAlignment="1">
      <alignment horizontal="center" vertical="center"/>
    </xf>
    <xf numFmtId="1" fontId="27" fillId="0" borderId="114" xfId="0" applyNumberFormat="1" applyFont="1" applyBorder="1" applyAlignment="1">
      <alignment horizontal="center" vertical="center"/>
    </xf>
    <xf numFmtId="1" fontId="27" fillId="0" borderId="101" xfId="0" applyNumberFormat="1" applyFont="1" applyBorder="1" applyAlignment="1">
      <alignment horizontal="center" vertical="center"/>
    </xf>
    <xf numFmtId="1" fontId="27" fillId="0" borderId="124" xfId="0" applyNumberFormat="1" applyFont="1" applyBorder="1" applyAlignment="1">
      <alignment horizontal="center" vertical="center"/>
    </xf>
    <xf numFmtId="0" fontId="27" fillId="0" borderId="142" xfId="0" applyFont="1" applyBorder="1" applyAlignment="1">
      <alignment horizontal="center" vertical="center"/>
    </xf>
    <xf numFmtId="0" fontId="27" fillId="0" borderId="143" xfId="0" applyFont="1" applyBorder="1" applyAlignment="1">
      <alignment horizontal="center" vertical="center"/>
    </xf>
    <xf numFmtId="0" fontId="27" fillId="0" borderId="144" xfId="0" applyFont="1" applyBorder="1" applyAlignment="1">
      <alignment horizontal="center" vertical="center"/>
    </xf>
    <xf numFmtId="1" fontId="27" fillId="0" borderId="111" xfId="0" applyNumberFormat="1" applyFont="1" applyBorder="1" applyAlignment="1">
      <alignment horizontal="center" vertical="center"/>
    </xf>
    <xf numFmtId="1" fontId="27" fillId="0" borderId="112" xfId="0" applyNumberFormat="1" applyFont="1" applyBorder="1" applyAlignment="1">
      <alignment horizontal="center" vertical="center"/>
    </xf>
    <xf numFmtId="1" fontId="27" fillId="0" borderId="116" xfId="0" applyNumberFormat="1" applyFont="1" applyBorder="1" applyAlignment="1">
      <alignment horizontal="center" vertical="center"/>
    </xf>
    <xf numFmtId="1" fontId="27" fillId="0" borderId="117" xfId="0" applyNumberFormat="1" applyFont="1" applyBorder="1" applyAlignment="1">
      <alignment horizontal="center" vertical="center"/>
    </xf>
    <xf numFmtId="1" fontId="27" fillId="0" borderId="133" xfId="0" applyNumberFormat="1" applyFont="1" applyBorder="1" applyAlignment="1">
      <alignment horizontal="center" vertical="center"/>
    </xf>
    <xf numFmtId="1" fontId="27" fillId="0" borderId="145" xfId="0" applyNumberFormat="1" applyFont="1" applyBorder="1" applyAlignment="1">
      <alignment horizontal="center" vertical="center"/>
    </xf>
    <xf numFmtId="1" fontId="27" fillId="0" borderId="13" xfId="0" applyNumberFormat="1" applyFont="1" applyBorder="1" applyAlignment="1">
      <alignment horizontal="center" vertical="center"/>
    </xf>
    <xf numFmtId="1" fontId="27" fillId="0" borderId="141" xfId="0" applyNumberFormat="1" applyFont="1" applyBorder="1" applyAlignment="1">
      <alignment horizontal="center" vertical="center"/>
    </xf>
    <xf numFmtId="2" fontId="27" fillId="0" borderId="59" xfId="0" applyNumberFormat="1" applyFont="1" applyBorder="1" applyAlignment="1">
      <alignment horizontal="center" vertical="center"/>
    </xf>
    <xf numFmtId="2" fontId="27" fillId="0" borderId="130" xfId="0" applyNumberFormat="1" applyFont="1" applyBorder="1" applyAlignment="1">
      <alignment horizontal="center" vertical="center"/>
    </xf>
    <xf numFmtId="2" fontId="27" fillId="0" borderId="109" xfId="0" applyNumberFormat="1" applyFont="1" applyBorder="1" applyAlignment="1">
      <alignment horizontal="center" vertical="center"/>
    </xf>
    <xf numFmtId="2" fontId="27" fillId="0" borderId="132" xfId="0" applyNumberFormat="1" applyFont="1" applyBorder="1" applyAlignment="1">
      <alignment horizontal="center" vertical="center"/>
    </xf>
    <xf numFmtId="2" fontId="27" fillId="0" borderId="60" xfId="0" applyNumberFormat="1" applyFont="1" applyBorder="1" applyAlignment="1">
      <alignment horizontal="center" vertical="center"/>
    </xf>
    <xf numFmtId="2" fontId="27" fillId="0" borderId="136" xfId="0" applyNumberFormat="1" applyFont="1" applyBorder="1" applyAlignment="1">
      <alignment horizontal="center" vertical="center"/>
    </xf>
    <xf numFmtId="2" fontId="27" fillId="0" borderId="133" xfId="0" applyNumberFormat="1" applyFont="1" applyBorder="1" applyAlignment="1">
      <alignment horizontal="center" vertical="center"/>
    </xf>
    <xf numFmtId="2" fontId="27" fillId="0" borderId="13" xfId="0" applyNumberFormat="1" applyFont="1" applyBorder="1" applyAlignment="1">
      <alignment horizontal="center" vertical="center"/>
    </xf>
    <xf numFmtId="0" fontId="27" fillId="0" borderId="146" xfId="0" applyFont="1" applyBorder="1" applyAlignment="1">
      <alignment horizontal="center" vertical="center"/>
    </xf>
    <xf numFmtId="1" fontId="27" fillId="0" borderId="119" xfId="0" applyNumberFormat="1" applyFont="1" applyBorder="1" applyAlignment="1">
      <alignment horizontal="center" vertical="center"/>
    </xf>
    <xf numFmtId="1" fontId="27" fillId="0" borderId="120" xfId="0" applyNumberFormat="1" applyFont="1" applyBorder="1" applyAlignment="1">
      <alignment horizontal="center" vertical="center"/>
    </xf>
    <xf numFmtId="1" fontId="27" fillId="6" borderId="0" xfId="0" applyNumberFormat="1" applyFont="1" applyFill="1" applyAlignment="1">
      <alignment horizontal="center" vertical="center"/>
    </xf>
    <xf numFmtId="0" fontId="9" fillId="0" borderId="99" xfId="0" applyFont="1" applyBorder="1" applyAlignment="1">
      <alignment vertical="center" wrapText="1"/>
    </xf>
    <xf numFmtId="0" fontId="9" fillId="0" borderId="11" xfId="0" applyFont="1" applyBorder="1" applyAlignment="1">
      <alignment horizontal="center" vertical="center" wrapText="1"/>
    </xf>
    <xf numFmtId="0" fontId="9" fillId="0" borderId="147" xfId="0" applyFont="1" applyBorder="1" applyAlignment="1">
      <alignment horizontal="center" vertical="center" wrapText="1"/>
    </xf>
    <xf numFmtId="0" fontId="12" fillId="0" borderId="0" xfId="5" applyAlignment="1">
      <alignment vertical="center"/>
    </xf>
    <xf numFmtId="0" fontId="9" fillId="0" borderId="148" xfId="0" applyFont="1" applyBorder="1" applyAlignment="1">
      <alignment horizontal="left" vertical="center"/>
    </xf>
    <xf numFmtId="0" fontId="27" fillId="0" borderId="152" xfId="0" applyFont="1" applyBorder="1" applyAlignment="1">
      <alignment horizontal="center" vertical="center"/>
    </xf>
    <xf numFmtId="2" fontId="27" fillId="0" borderId="150" xfId="0" applyNumberFormat="1" applyFont="1" applyBorder="1" applyAlignment="1">
      <alignment horizontal="center" vertical="center"/>
    </xf>
    <xf numFmtId="2" fontId="27" fillId="0" borderId="153" xfId="0" applyNumberFormat="1" applyFont="1" applyBorder="1" applyAlignment="1">
      <alignment horizontal="center" vertical="center"/>
    </xf>
    <xf numFmtId="2" fontId="27" fillId="0" borderId="155" xfId="0" applyNumberFormat="1" applyFont="1" applyBorder="1" applyAlignment="1">
      <alignment horizontal="center" vertical="center"/>
    </xf>
    <xf numFmtId="0" fontId="27" fillId="0" borderId="159" xfId="0" applyFont="1" applyBorder="1" applyAlignment="1">
      <alignment horizontal="center" vertical="center"/>
    </xf>
    <xf numFmtId="2" fontId="27" fillId="0" borderId="157" xfId="0" applyNumberFormat="1" applyFont="1" applyBorder="1" applyAlignment="1">
      <alignment horizontal="center" vertical="center"/>
    </xf>
    <xf numFmtId="2" fontId="27" fillId="0" borderId="160" xfId="0" applyNumberFormat="1" applyFont="1" applyBorder="1" applyAlignment="1">
      <alignment horizontal="center" vertical="center"/>
    </xf>
    <xf numFmtId="0" fontId="27" fillId="0" borderId="163" xfId="0" applyFont="1" applyBorder="1" applyAlignment="1">
      <alignment horizontal="center" vertical="center"/>
    </xf>
    <xf numFmtId="0" fontId="27" fillId="0" borderId="164" xfId="0" applyFont="1" applyBorder="1" applyAlignment="1">
      <alignment horizontal="center" vertical="center"/>
    </xf>
    <xf numFmtId="0" fontId="27" fillId="0" borderId="166" xfId="0" applyFont="1" applyBorder="1" applyAlignment="1">
      <alignment horizontal="center" vertical="center"/>
    </xf>
    <xf numFmtId="0" fontId="27" fillId="0" borderId="153" xfId="0" applyFont="1" applyBorder="1" applyAlignment="1">
      <alignment horizontal="center" vertical="center"/>
    </xf>
    <xf numFmtId="0" fontId="27" fillId="0" borderId="165" xfId="0" applyFont="1" applyBorder="1" applyAlignment="1">
      <alignment horizontal="center" vertical="center"/>
    </xf>
    <xf numFmtId="0" fontId="27" fillId="0" borderId="168" xfId="0" applyFont="1" applyBorder="1" applyAlignment="1">
      <alignment horizontal="center" vertical="center"/>
    </xf>
    <xf numFmtId="0" fontId="27" fillId="0" borderId="169" xfId="0" applyFont="1" applyBorder="1" applyAlignment="1">
      <alignment horizontal="center" vertical="center"/>
    </xf>
    <xf numFmtId="0" fontId="27" fillId="0" borderId="170" xfId="0" applyFont="1" applyBorder="1" applyAlignment="1">
      <alignment horizontal="center" vertical="center"/>
    </xf>
    <xf numFmtId="0" fontId="27" fillId="0" borderId="171" xfId="0" applyFont="1" applyBorder="1" applyAlignment="1">
      <alignment horizontal="center" vertical="center"/>
    </xf>
    <xf numFmtId="0" fontId="2" fillId="0" borderId="13" xfId="0" applyFont="1" applyBorder="1" applyAlignment="1">
      <alignment horizontal="center" vertical="center"/>
    </xf>
    <xf numFmtId="0" fontId="3" fillId="6" borderId="92" xfId="5" applyFont="1" applyFill="1" applyBorder="1" applyAlignment="1">
      <alignment horizontal="center" vertical="center" wrapText="1"/>
    </xf>
    <xf numFmtId="0" fontId="2" fillId="0" borderId="1" xfId="0" applyFont="1" applyBorder="1" applyAlignment="1">
      <alignment horizontal="center" vertical="center"/>
    </xf>
    <xf numFmtId="0" fontId="2" fillId="0" borderId="31" xfId="0" applyFont="1" applyBorder="1" applyAlignment="1">
      <alignment horizontal="center" vertical="center"/>
    </xf>
    <xf numFmtId="0" fontId="27" fillId="0" borderId="0" xfId="0" applyFont="1" applyAlignment="1">
      <alignment horizontal="left" vertical="center" wrapText="1"/>
    </xf>
    <xf numFmtId="0" fontId="0" fillId="0" borderId="0" xfId="0" applyAlignment="1">
      <alignment horizontal="right"/>
    </xf>
    <xf numFmtId="2" fontId="0" fillId="0" borderId="0" xfId="0" applyNumberFormat="1" applyAlignment="1">
      <alignment horizontal="center" vertical="center"/>
    </xf>
    <xf numFmtId="1" fontId="0" fillId="0" borderId="0" xfId="0" applyNumberFormat="1" applyAlignment="1">
      <alignment horizontal="center"/>
    </xf>
    <xf numFmtId="2" fontId="27" fillId="0" borderId="176" xfId="0" applyNumberFormat="1" applyFont="1" applyBorder="1" applyAlignment="1">
      <alignment horizontal="center" vertical="center"/>
    </xf>
    <xf numFmtId="2" fontId="27" fillId="0" borderId="177" xfId="0" applyNumberFormat="1" applyFont="1" applyBorder="1" applyAlignment="1">
      <alignment horizontal="center" vertical="center"/>
    </xf>
    <xf numFmtId="2" fontId="27" fillId="0" borderId="179" xfId="0" applyNumberFormat="1" applyFont="1" applyBorder="1" applyAlignment="1">
      <alignment horizontal="center" vertical="center"/>
    </xf>
    <xf numFmtId="2" fontId="27" fillId="0" borderId="181" xfId="0" applyNumberFormat="1" applyFont="1" applyBorder="1" applyAlignment="1">
      <alignment horizontal="center" vertical="center"/>
    </xf>
    <xf numFmtId="2" fontId="27" fillId="0" borderId="182" xfId="0" applyNumberFormat="1" applyFont="1" applyBorder="1" applyAlignment="1">
      <alignment horizontal="center" vertical="center"/>
    </xf>
    <xf numFmtId="2" fontId="78" fillId="0" borderId="37" xfId="0" applyNumberFormat="1" applyFont="1" applyBorder="1" applyAlignment="1">
      <alignment horizontal="center" vertical="center"/>
    </xf>
    <xf numFmtId="2" fontId="78" fillId="0" borderId="35" xfId="0" applyNumberFormat="1" applyFont="1" applyBorder="1" applyAlignment="1">
      <alignment horizontal="center" vertical="center"/>
    </xf>
    <xf numFmtId="2" fontId="78" fillId="0" borderId="36" xfId="0" applyNumberFormat="1" applyFont="1" applyBorder="1" applyAlignment="1">
      <alignment horizontal="center" vertical="center"/>
    </xf>
    <xf numFmtId="0" fontId="27" fillId="0" borderId="175" xfId="0" applyFont="1" applyBorder="1" applyAlignment="1">
      <alignment horizontal="center" vertical="center"/>
    </xf>
    <xf numFmtId="2" fontId="69" fillId="0" borderId="176" xfId="0" applyNumberFormat="1" applyFont="1" applyBorder="1" applyAlignment="1">
      <alignment horizontal="center" vertical="center"/>
    </xf>
    <xf numFmtId="0" fontId="27" fillId="0" borderId="178" xfId="0" applyFont="1" applyBorder="1" applyAlignment="1">
      <alignment horizontal="center" vertical="center"/>
    </xf>
    <xf numFmtId="2" fontId="69" fillId="0" borderId="35" xfId="0" applyNumberFormat="1" applyFont="1" applyBorder="1" applyAlignment="1">
      <alignment horizontal="center" vertical="center"/>
    </xf>
    <xf numFmtId="0" fontId="27" fillId="0" borderId="180" xfId="0" applyFont="1" applyBorder="1" applyAlignment="1">
      <alignment horizontal="center" vertical="center"/>
    </xf>
    <xf numFmtId="2" fontId="69" fillId="0" borderId="181" xfId="0" applyNumberFormat="1" applyFont="1" applyBorder="1" applyAlignment="1">
      <alignment horizontal="center" vertical="center"/>
    </xf>
    <xf numFmtId="2" fontId="78" fillId="0" borderId="176" xfId="0" applyNumberFormat="1" applyFont="1" applyBorder="1" applyAlignment="1">
      <alignment horizontal="center" vertical="center"/>
    </xf>
    <xf numFmtId="2" fontId="78" fillId="0" borderId="183" xfId="0" applyNumberFormat="1" applyFont="1" applyBorder="1" applyAlignment="1">
      <alignment horizontal="center" vertical="center"/>
    </xf>
    <xf numFmtId="2" fontId="78" fillId="0" borderId="181" xfId="0" applyNumberFormat="1" applyFont="1" applyBorder="1" applyAlignment="1">
      <alignment horizontal="center" vertical="center"/>
    </xf>
    <xf numFmtId="2" fontId="78" fillId="0" borderId="184" xfId="0" applyNumberFormat="1" applyFont="1" applyBorder="1" applyAlignment="1">
      <alignment horizontal="center" vertical="center"/>
    </xf>
    <xf numFmtId="2" fontId="27" fillId="0" borderId="184" xfId="0" applyNumberFormat="1" applyFont="1" applyBorder="1" applyAlignment="1">
      <alignment horizontal="center" vertical="center"/>
    </xf>
    <xf numFmtId="2" fontId="78" fillId="0" borderId="1" xfId="0" applyNumberFormat="1" applyFont="1" applyBorder="1" applyAlignment="1">
      <alignment horizontal="center" vertical="center"/>
    </xf>
    <xf numFmtId="2" fontId="78" fillId="0" borderId="2" xfId="0" applyNumberFormat="1" applyFont="1" applyBorder="1" applyAlignment="1">
      <alignment horizontal="center" vertical="center"/>
    </xf>
    <xf numFmtId="0" fontId="27" fillId="0" borderId="15" xfId="0" applyFont="1" applyBorder="1" applyAlignment="1">
      <alignment horizontal="center" vertical="center"/>
    </xf>
    <xf numFmtId="2" fontId="78" fillId="0" borderId="12" xfId="0" applyNumberFormat="1" applyFont="1" applyBorder="1" applyAlignment="1">
      <alignment horizontal="center" vertical="center"/>
    </xf>
    <xf numFmtId="2" fontId="27" fillId="0" borderId="41" xfId="0" applyNumberFormat="1" applyFont="1" applyBorder="1" applyAlignment="1">
      <alignment horizontal="center" vertical="center"/>
    </xf>
    <xf numFmtId="2" fontId="65" fillId="0" borderId="43" xfId="0" applyNumberFormat="1" applyFont="1" applyBorder="1" applyAlignment="1">
      <alignment horizontal="center" vertical="center"/>
    </xf>
    <xf numFmtId="2" fontId="78" fillId="0" borderId="43" xfId="0" applyNumberFormat="1" applyFont="1" applyBorder="1" applyAlignment="1">
      <alignment horizontal="center" vertical="center"/>
    </xf>
    <xf numFmtId="2" fontId="65" fillId="0" borderId="44" xfId="0" applyNumberFormat="1" applyFont="1" applyBorder="1" applyAlignment="1">
      <alignment horizontal="center" vertical="center"/>
    </xf>
    <xf numFmtId="2" fontId="65" fillId="0" borderId="35" xfId="0" applyNumberFormat="1" applyFont="1" applyBorder="1" applyAlignment="1">
      <alignment horizontal="center" vertical="center"/>
    </xf>
    <xf numFmtId="2" fontId="65" fillId="0" borderId="46" xfId="0" applyNumberFormat="1" applyFont="1" applyBorder="1" applyAlignment="1">
      <alignment horizontal="center" vertical="center"/>
    </xf>
    <xf numFmtId="2" fontId="65" fillId="0" borderId="52" xfId="0" applyNumberFormat="1" applyFont="1" applyBorder="1" applyAlignment="1">
      <alignment horizontal="center" vertical="center"/>
    </xf>
    <xf numFmtId="2" fontId="78" fillId="0" borderId="52" xfId="0" applyNumberFormat="1" applyFont="1" applyBorder="1" applyAlignment="1">
      <alignment horizontal="center" vertical="center"/>
    </xf>
    <xf numFmtId="2" fontId="65" fillId="0" borderId="53" xfId="0" applyNumberFormat="1" applyFont="1" applyBorder="1" applyAlignment="1">
      <alignment horizontal="center" vertical="center"/>
    </xf>
    <xf numFmtId="0" fontId="27" fillId="0" borderId="21" xfId="0" applyFont="1" applyBorder="1" applyAlignment="1">
      <alignment horizontal="center" vertical="center"/>
    </xf>
    <xf numFmtId="2" fontId="27" fillId="0" borderId="18" xfId="0" applyNumberFormat="1" applyFont="1" applyBorder="1" applyAlignment="1">
      <alignment horizontal="center" vertical="center"/>
    </xf>
    <xf numFmtId="2" fontId="78" fillId="0" borderId="18" xfId="0" applyNumberFormat="1" applyFont="1" applyBorder="1" applyAlignment="1">
      <alignment horizontal="center" vertical="center"/>
    </xf>
    <xf numFmtId="2" fontId="27" fillId="0" borderId="186" xfId="0" applyNumberFormat="1" applyFont="1" applyBorder="1" applyAlignment="1">
      <alignment horizontal="center" vertical="center"/>
    </xf>
    <xf numFmtId="2" fontId="78" fillId="0" borderId="31" xfId="0" applyNumberFormat="1" applyFont="1" applyBorder="1" applyAlignment="1">
      <alignment horizontal="center" vertical="center"/>
    </xf>
    <xf numFmtId="2" fontId="27" fillId="0" borderId="187" xfId="0" applyNumberFormat="1" applyFont="1" applyBorder="1" applyAlignment="1">
      <alignment horizontal="center" vertical="center"/>
    </xf>
    <xf numFmtId="2" fontId="27" fillId="0" borderId="55" xfId="0" applyNumberFormat="1" applyFont="1" applyBorder="1" applyAlignment="1">
      <alignment horizontal="center" vertical="center"/>
    </xf>
    <xf numFmtId="2" fontId="27" fillId="0" borderId="188" xfId="0" applyNumberFormat="1" applyFont="1" applyBorder="1" applyAlignment="1">
      <alignment horizontal="center" vertical="center"/>
    </xf>
    <xf numFmtId="0" fontId="9" fillId="6" borderId="0" xfId="0" applyFont="1" applyFill="1" applyAlignment="1">
      <alignment vertical="center"/>
    </xf>
    <xf numFmtId="0" fontId="27" fillId="0" borderId="187" xfId="0" applyFont="1" applyBorder="1" applyAlignment="1">
      <alignment horizontal="center" vertical="center"/>
    </xf>
    <xf numFmtId="0" fontId="27" fillId="0" borderId="188" xfId="0" applyFont="1" applyBorder="1" applyAlignment="1">
      <alignment horizontal="center" vertical="center"/>
    </xf>
    <xf numFmtId="0" fontId="79" fillId="0" borderId="99" xfId="0" applyFont="1" applyBorder="1" applyAlignment="1">
      <alignment horizontal="left" vertical="center"/>
    </xf>
    <xf numFmtId="0" fontId="28" fillId="0" borderId="2" xfId="0" applyFont="1" applyBorder="1" applyAlignment="1">
      <alignment horizontal="center" vertical="center" wrapText="1"/>
    </xf>
    <xf numFmtId="0" fontId="9" fillId="7" borderId="2" xfId="0" applyFont="1" applyFill="1" applyBorder="1" applyAlignment="1">
      <alignment horizontal="center" vertical="center"/>
    </xf>
    <xf numFmtId="1" fontId="9" fillId="0" borderId="105" xfId="0" applyNumberFormat="1" applyFont="1" applyBorder="1" applyAlignment="1">
      <alignment horizontal="left" vertical="center"/>
    </xf>
    <xf numFmtId="1" fontId="9" fillId="0" borderId="2" xfId="0" applyNumberFormat="1" applyFont="1" applyBorder="1" applyAlignment="1">
      <alignment horizontal="left" vertical="center"/>
    </xf>
    <xf numFmtId="9" fontId="9" fillId="0" borderId="0" xfId="2" applyFont="1" applyBorder="1" applyAlignment="1">
      <alignment horizontal="center" vertical="center"/>
    </xf>
    <xf numFmtId="0" fontId="27" fillId="0" borderId="0" xfId="0" applyFont="1" applyAlignment="1">
      <alignment horizontal="center" vertical="center" wrapText="1"/>
    </xf>
    <xf numFmtId="1" fontId="65" fillId="0" borderId="111" xfId="0" applyNumberFormat="1" applyFont="1" applyBorder="1" applyAlignment="1">
      <alignment horizontal="center" vertical="center"/>
    </xf>
    <xf numFmtId="1" fontId="65" fillId="0" borderId="112" xfId="0" applyNumberFormat="1" applyFont="1" applyBorder="1" applyAlignment="1">
      <alignment horizontal="center" vertical="center"/>
    </xf>
    <xf numFmtId="1" fontId="65" fillId="0" borderId="99" xfId="0" applyNumberFormat="1" applyFont="1" applyBorder="1" applyAlignment="1">
      <alignment horizontal="center" vertical="center"/>
    </xf>
    <xf numFmtId="1" fontId="65" fillId="0" borderId="114" xfId="0" applyNumberFormat="1" applyFont="1" applyBorder="1" applyAlignment="1">
      <alignment horizontal="center" vertical="center"/>
    </xf>
    <xf numFmtId="1" fontId="65" fillId="0" borderId="116" xfId="0" applyNumberFormat="1" applyFont="1" applyBorder="1" applyAlignment="1">
      <alignment horizontal="center" vertical="center"/>
    </xf>
    <xf numFmtId="1" fontId="65" fillId="0" borderId="117" xfId="0" applyNumberFormat="1" applyFont="1" applyBorder="1" applyAlignment="1">
      <alignment horizontal="center" vertical="center"/>
    </xf>
    <xf numFmtId="0" fontId="80" fillId="0" borderId="0" xfId="0" applyFont="1"/>
    <xf numFmtId="0" fontId="9" fillId="7" borderId="2" xfId="0" applyFont="1" applyFill="1" applyBorder="1" applyAlignment="1">
      <alignment horizontal="center" vertical="center" wrapText="1"/>
    </xf>
    <xf numFmtId="0" fontId="28" fillId="0" borderId="203" xfId="0" applyFont="1" applyBorder="1" applyAlignment="1">
      <alignment horizontal="center" vertical="center"/>
    </xf>
    <xf numFmtId="0" fontId="28" fillId="0" borderId="3" xfId="0" applyFont="1" applyBorder="1" applyAlignment="1">
      <alignment horizontal="center" vertical="center"/>
    </xf>
    <xf numFmtId="0" fontId="28" fillId="0" borderId="204" xfId="0" applyFont="1" applyBorder="1" applyAlignment="1">
      <alignment horizontal="center" vertical="center"/>
    </xf>
    <xf numFmtId="0" fontId="0" fillId="5" borderId="2" xfId="0" applyFill="1" applyBorder="1" applyAlignment="1">
      <alignment horizontal="center"/>
    </xf>
    <xf numFmtId="0" fontId="28" fillId="0" borderId="11" xfId="0" applyFont="1" applyBorder="1" applyAlignment="1">
      <alignment horizontal="center" vertical="center"/>
    </xf>
    <xf numFmtId="169" fontId="0" fillId="0" borderId="2" xfId="6" applyNumberFormat="1" applyFont="1" applyBorder="1"/>
    <xf numFmtId="43" fontId="0" fillId="0" borderId="2" xfId="0" applyNumberFormat="1" applyBorder="1" applyAlignment="1">
      <alignment horizontal="center"/>
    </xf>
    <xf numFmtId="43" fontId="28" fillId="0" borderId="2" xfId="0" applyNumberFormat="1" applyFont="1" applyBorder="1" applyAlignment="1">
      <alignment horizontal="center" vertical="center"/>
    </xf>
    <xf numFmtId="165" fontId="0" fillId="0" borderId="0" xfId="0" applyNumberFormat="1" applyAlignment="1">
      <alignment horizontal="center" vertical="center"/>
    </xf>
    <xf numFmtId="173" fontId="0" fillId="0" borderId="0" xfId="6" applyNumberFormat="1" applyFont="1" applyAlignment="1">
      <alignment horizontal="center" vertical="center"/>
    </xf>
    <xf numFmtId="165" fontId="9" fillId="0" borderId="99" xfId="0" applyNumberFormat="1" applyFont="1" applyBorder="1" applyAlignment="1">
      <alignment horizontal="center" vertical="center" wrapText="1"/>
    </xf>
    <xf numFmtId="0" fontId="15" fillId="0" borderId="99" xfId="0" applyFont="1" applyBorder="1" applyAlignment="1">
      <alignment vertical="center" wrapText="1"/>
    </xf>
    <xf numFmtId="1" fontId="27" fillId="0" borderId="213" xfId="0" applyNumberFormat="1" applyFont="1" applyBorder="1" applyAlignment="1">
      <alignment horizontal="center" vertical="center"/>
    </xf>
    <xf numFmtId="1" fontId="27" fillId="0" borderId="205" xfId="0" applyNumberFormat="1" applyFont="1" applyBorder="1" applyAlignment="1">
      <alignment horizontal="center" vertical="center"/>
    </xf>
    <xf numFmtId="1" fontId="27" fillId="0" borderId="172" xfId="0" applyNumberFormat="1" applyFont="1" applyBorder="1" applyAlignment="1">
      <alignment horizontal="center" vertical="center"/>
    </xf>
    <xf numFmtId="1" fontId="27" fillId="0" borderId="214" xfId="0" applyNumberFormat="1" applyFont="1" applyBorder="1" applyAlignment="1">
      <alignment horizontal="center" vertical="center"/>
    </xf>
    <xf numFmtId="1" fontId="27" fillId="0" borderId="41" xfId="0" applyNumberFormat="1" applyFont="1" applyBorder="1" applyAlignment="1">
      <alignment horizontal="center" vertical="center"/>
    </xf>
    <xf numFmtId="1" fontId="27" fillId="0" borderId="215" xfId="0" applyNumberFormat="1" applyFont="1" applyBorder="1" applyAlignment="1">
      <alignment horizontal="center" vertical="center"/>
    </xf>
    <xf numFmtId="1" fontId="27" fillId="0" borderId="216" xfId="0" applyNumberFormat="1" applyFont="1" applyBorder="1" applyAlignment="1">
      <alignment horizontal="center" vertical="center"/>
    </xf>
    <xf numFmtId="1" fontId="27" fillId="0" borderId="212" xfId="0" applyNumberFormat="1" applyFont="1" applyBorder="1" applyAlignment="1">
      <alignment horizontal="center" vertical="center"/>
    </xf>
    <xf numFmtId="1" fontId="27" fillId="0" borderId="217" xfId="0" applyNumberFormat="1" applyFont="1" applyBorder="1" applyAlignment="1">
      <alignment horizontal="center" vertical="center"/>
    </xf>
    <xf numFmtId="1" fontId="27" fillId="0" borderId="155" xfId="0" applyNumberFormat="1" applyFont="1" applyBorder="1" applyAlignment="1">
      <alignment horizontal="center" vertical="center"/>
    </xf>
    <xf numFmtId="1" fontId="27" fillId="0" borderId="218" xfId="0" applyNumberFormat="1" applyFont="1" applyBorder="1" applyAlignment="1">
      <alignment horizontal="center" vertical="center"/>
    </xf>
    <xf numFmtId="1" fontId="27" fillId="0" borderId="157" xfId="0" applyNumberFormat="1" applyFont="1" applyBorder="1" applyAlignment="1">
      <alignment horizontal="center" vertical="center"/>
    </xf>
    <xf numFmtId="1" fontId="27" fillId="0" borderId="160" xfId="0" applyNumberFormat="1" applyFont="1" applyBorder="1" applyAlignment="1">
      <alignment horizontal="center" vertical="center"/>
    </xf>
    <xf numFmtId="1" fontId="27" fillId="0" borderId="0" xfId="0" applyNumberFormat="1" applyFont="1" applyAlignment="1">
      <alignment horizontal="center" vertical="center"/>
    </xf>
    <xf numFmtId="0" fontId="77" fillId="0" borderId="0" xfId="0" applyFont="1" applyAlignment="1">
      <alignment horizontal="center" vertical="center"/>
    </xf>
    <xf numFmtId="0" fontId="65" fillId="0" borderId="121" xfId="0" applyFont="1" applyBorder="1" applyAlignment="1">
      <alignment horizontal="center" vertical="center"/>
    </xf>
    <xf numFmtId="0" fontId="65" fillId="0" borderId="104" xfId="0" applyFont="1" applyBorder="1" applyAlignment="1">
      <alignment horizontal="center" vertical="center"/>
    </xf>
    <xf numFmtId="0" fontId="65" fillId="0" borderId="122" xfId="0" applyFont="1" applyBorder="1" applyAlignment="1">
      <alignment horizontal="center" vertical="center"/>
    </xf>
    <xf numFmtId="0" fontId="65" fillId="0" borderId="0" xfId="0" applyFont="1" applyAlignment="1">
      <alignment horizontal="center" vertical="center"/>
    </xf>
    <xf numFmtId="2" fontId="69" fillId="0" borderId="12" xfId="0" applyNumberFormat="1" applyFont="1" applyBorder="1" applyAlignment="1">
      <alignment horizontal="center" vertical="center"/>
    </xf>
    <xf numFmtId="2" fontId="69" fillId="0" borderId="2" xfId="0" applyNumberFormat="1" applyFont="1" applyBorder="1" applyAlignment="1">
      <alignment horizontal="center" vertical="center"/>
    </xf>
    <xf numFmtId="2" fontId="69" fillId="0" borderId="43" xfId="0" applyNumberFormat="1" applyFont="1" applyBorder="1" applyAlignment="1">
      <alignment horizontal="center" vertical="center"/>
    </xf>
    <xf numFmtId="2" fontId="69" fillId="0" borderId="44" xfId="0" applyNumberFormat="1" applyFont="1" applyBorder="1" applyAlignment="1">
      <alignment horizontal="center" vertical="center"/>
    </xf>
    <xf numFmtId="2" fontId="69" fillId="0" borderId="46" xfId="0" applyNumberFormat="1" applyFont="1" applyBorder="1" applyAlignment="1">
      <alignment horizontal="center" vertical="center"/>
    </xf>
    <xf numFmtId="2" fontId="69" fillId="0" borderId="52" xfId="0" applyNumberFormat="1" applyFont="1" applyBorder="1" applyAlignment="1">
      <alignment horizontal="center" vertical="center"/>
    </xf>
    <xf numFmtId="2" fontId="69" fillId="0" borderId="53" xfId="0" applyNumberFormat="1" applyFont="1" applyBorder="1" applyAlignment="1">
      <alignment horizontal="center" vertical="center"/>
    </xf>
    <xf numFmtId="1" fontId="27" fillId="0" borderId="150" xfId="0" applyNumberFormat="1" applyFont="1" applyBorder="1" applyAlignment="1">
      <alignment horizontal="center" vertical="center"/>
    </xf>
    <xf numFmtId="1" fontId="27" fillId="0" borderId="153" xfId="0" applyNumberFormat="1" applyFont="1" applyBorder="1" applyAlignment="1">
      <alignment horizontal="center" vertical="center"/>
    </xf>
    <xf numFmtId="1" fontId="27" fillId="0" borderId="165" xfId="0" applyNumberFormat="1" applyFont="1" applyBorder="1" applyAlignment="1">
      <alignment horizontal="center" vertical="center"/>
    </xf>
    <xf numFmtId="0" fontId="27" fillId="0" borderId="207" xfId="0" applyFont="1" applyBorder="1" applyAlignment="1">
      <alignment horizontal="center" vertical="center"/>
    </xf>
    <xf numFmtId="0" fontId="27" fillId="0" borderId="208" xfId="0" applyFont="1" applyBorder="1" applyAlignment="1">
      <alignment horizontal="center" vertical="center"/>
    </xf>
    <xf numFmtId="0" fontId="27" fillId="0" borderId="209" xfId="0" applyFont="1" applyBorder="1" applyAlignment="1">
      <alignment horizontal="center" vertical="center"/>
    </xf>
    <xf numFmtId="0" fontId="27" fillId="0" borderId="230" xfId="0" applyFont="1" applyBorder="1" applyAlignment="1">
      <alignment horizontal="center" vertical="center"/>
    </xf>
    <xf numFmtId="2" fontId="65" fillId="0" borderId="99" xfId="0" applyNumberFormat="1" applyFont="1" applyBorder="1" applyAlignment="1">
      <alignment horizontal="center" vertical="center"/>
    </xf>
    <xf numFmtId="0" fontId="65" fillId="0" borderId="0" xfId="0" applyFont="1" applyAlignment="1">
      <alignment horizontal="center" vertical="center" wrapText="1"/>
    </xf>
    <xf numFmtId="2" fontId="65" fillId="0" borderId="0" xfId="0" applyNumberFormat="1" applyFont="1" applyAlignment="1">
      <alignment horizontal="center" vertical="center"/>
    </xf>
    <xf numFmtId="0" fontId="81" fillId="0" borderId="0" xfId="0" applyFont="1" applyAlignment="1">
      <alignment vertical="center"/>
    </xf>
    <xf numFmtId="2" fontId="77" fillId="0" borderId="150" xfId="0" applyNumberFormat="1" applyFont="1" applyBorder="1" applyAlignment="1">
      <alignment horizontal="center" vertical="center"/>
    </xf>
    <xf numFmtId="2" fontId="77" fillId="0" borderId="153" xfId="0" applyNumberFormat="1" applyFont="1" applyBorder="1" applyAlignment="1">
      <alignment horizontal="center" vertical="center"/>
    </xf>
    <xf numFmtId="2" fontId="77" fillId="0" borderId="155" xfId="0" applyNumberFormat="1" applyFont="1" applyBorder="1" applyAlignment="1">
      <alignment horizontal="center" vertical="center"/>
    </xf>
    <xf numFmtId="2" fontId="77" fillId="0" borderId="157" xfId="0" applyNumberFormat="1" applyFont="1" applyBorder="1" applyAlignment="1">
      <alignment horizontal="center" vertical="center"/>
    </xf>
    <xf numFmtId="2" fontId="77" fillId="0" borderId="160" xfId="0" applyNumberFormat="1" applyFont="1" applyBorder="1" applyAlignment="1">
      <alignment horizontal="center" vertical="center"/>
    </xf>
    <xf numFmtId="0" fontId="65" fillId="0" borderId="152" xfId="0" applyFont="1" applyBorder="1" applyAlignment="1">
      <alignment horizontal="center" vertical="center"/>
    </xf>
    <xf numFmtId="2" fontId="65" fillId="0" borderId="150" xfId="0" applyNumberFormat="1" applyFont="1" applyBorder="1" applyAlignment="1">
      <alignment horizontal="center" vertical="center"/>
    </xf>
    <xf numFmtId="2" fontId="65" fillId="0" borderId="153" xfId="0" applyNumberFormat="1" applyFont="1" applyBorder="1" applyAlignment="1">
      <alignment horizontal="center" vertical="center"/>
    </xf>
    <xf numFmtId="2" fontId="65" fillId="0" borderId="155" xfId="0" applyNumberFormat="1" applyFont="1" applyBorder="1" applyAlignment="1">
      <alignment horizontal="center" vertical="center"/>
    </xf>
    <xf numFmtId="0" fontId="65" fillId="0" borderId="159" xfId="0" applyFont="1" applyBorder="1" applyAlignment="1">
      <alignment horizontal="center" vertical="center"/>
    </xf>
    <xf numFmtId="2" fontId="65" fillId="0" borderId="157" xfId="0" applyNumberFormat="1" applyFont="1" applyBorder="1" applyAlignment="1">
      <alignment horizontal="center" vertical="center"/>
    </xf>
    <xf numFmtId="2" fontId="65" fillId="0" borderId="160" xfId="0" applyNumberFormat="1" applyFont="1" applyBorder="1" applyAlignment="1">
      <alignment horizontal="center" vertical="center"/>
    </xf>
    <xf numFmtId="0" fontId="27" fillId="0" borderId="39" xfId="0" applyFont="1" applyBorder="1" applyAlignment="1">
      <alignment horizontal="center" vertical="center" wrapText="1"/>
    </xf>
    <xf numFmtId="0" fontId="27" fillId="0" borderId="11" xfId="0" applyFont="1" applyBorder="1" applyAlignment="1">
      <alignment horizontal="center" vertical="center" wrapText="1"/>
    </xf>
    <xf numFmtId="0" fontId="27" fillId="0" borderId="40" xfId="0" applyFont="1" applyBorder="1" applyAlignment="1">
      <alignment horizontal="center" vertical="center" wrapText="1"/>
    </xf>
    <xf numFmtId="0" fontId="27" fillId="0" borderId="21" xfId="0" applyFont="1" applyBorder="1" applyAlignment="1">
      <alignment horizontal="center" vertical="center" wrapText="1"/>
    </xf>
    <xf numFmtId="0" fontId="27" fillId="0" borderId="15" xfId="0" applyFont="1" applyBorder="1" applyAlignment="1">
      <alignment horizontal="center" vertical="center" wrapText="1"/>
    </xf>
    <xf numFmtId="0" fontId="27" fillId="0" borderId="229" xfId="0" applyFont="1" applyBorder="1" applyAlignment="1">
      <alignment horizontal="center" vertical="center"/>
    </xf>
    <xf numFmtId="2" fontId="77" fillId="0" borderId="2" xfId="0" applyNumberFormat="1" applyFont="1" applyBorder="1" applyAlignment="1">
      <alignment horizontal="center" vertical="center"/>
    </xf>
    <xf numFmtId="2" fontId="77" fillId="0" borderId="18" xfId="0" applyNumberFormat="1" applyFont="1" applyBorder="1" applyAlignment="1">
      <alignment horizontal="center" vertical="center"/>
    </xf>
    <xf numFmtId="0" fontId="27" fillId="0" borderId="4" xfId="0" applyFont="1" applyBorder="1" applyAlignment="1">
      <alignment horizontal="center" vertical="center"/>
    </xf>
    <xf numFmtId="2" fontId="77" fillId="0" borderId="1" xfId="0" applyNumberFormat="1" applyFont="1" applyBorder="1" applyAlignment="1">
      <alignment horizontal="center" vertical="center"/>
    </xf>
    <xf numFmtId="2" fontId="77" fillId="0" borderId="5" xfId="0" applyNumberFormat="1" applyFont="1" applyBorder="1" applyAlignment="1">
      <alignment horizontal="center" vertical="center"/>
    </xf>
    <xf numFmtId="0" fontId="27" fillId="0" borderId="6" xfId="0" applyFont="1" applyBorder="1" applyAlignment="1">
      <alignment horizontal="center" vertical="center"/>
    </xf>
    <xf numFmtId="2" fontId="77" fillId="0" borderId="7" xfId="0" applyNumberFormat="1" applyFont="1" applyBorder="1" applyAlignment="1">
      <alignment horizontal="center" vertical="center"/>
    </xf>
    <xf numFmtId="0" fontId="27" fillId="0" borderId="8" xfId="0" applyFont="1" applyBorder="1" applyAlignment="1">
      <alignment horizontal="center" vertical="center"/>
    </xf>
    <xf numFmtId="2" fontId="77" fillId="0" borderId="31" xfId="0" applyNumberFormat="1" applyFont="1" applyBorder="1" applyAlignment="1">
      <alignment horizontal="center" vertical="center"/>
    </xf>
    <xf numFmtId="2" fontId="77" fillId="0" borderId="9" xfId="0" applyNumberFormat="1" applyFont="1" applyBorder="1" applyAlignment="1">
      <alignment horizontal="center" vertical="center"/>
    </xf>
    <xf numFmtId="2" fontId="77" fillId="0" borderId="12" xfId="0" applyNumberFormat="1" applyFont="1" applyBorder="1" applyAlignment="1">
      <alignment horizontal="center" vertical="center"/>
    </xf>
    <xf numFmtId="0" fontId="65" fillId="0" borderId="4" xfId="0" applyFont="1" applyBorder="1" applyAlignment="1">
      <alignment horizontal="center" vertical="center"/>
    </xf>
    <xf numFmtId="0" fontId="65" fillId="0" borderId="6" xfId="0" applyFont="1" applyBorder="1" applyAlignment="1">
      <alignment horizontal="center" vertical="center"/>
    </xf>
    <xf numFmtId="0" fontId="65" fillId="0" borderId="8" xfId="0" applyFont="1" applyBorder="1" applyAlignment="1">
      <alignment horizontal="center" vertical="center"/>
    </xf>
    <xf numFmtId="0" fontId="27" fillId="0" borderId="185" xfId="0" applyFont="1" applyBorder="1" applyAlignment="1">
      <alignment horizontal="center" vertical="center"/>
    </xf>
    <xf numFmtId="2" fontId="77" fillId="0" borderId="186" xfId="0" applyNumberFormat="1" applyFont="1" applyBorder="1" applyAlignment="1">
      <alignment horizontal="center" vertical="center"/>
    </xf>
    <xf numFmtId="0" fontId="27" fillId="0" borderId="148" xfId="0" applyFont="1" applyBorder="1" applyAlignment="1">
      <alignment horizontal="center" vertical="center"/>
    </xf>
    <xf numFmtId="2" fontId="77" fillId="0" borderId="41" xfId="0" applyNumberFormat="1" applyFont="1" applyBorder="1" applyAlignment="1">
      <alignment horizontal="center" vertical="center"/>
    </xf>
    <xf numFmtId="1" fontId="27" fillId="0" borderId="2" xfId="0" applyNumberFormat="1" applyFont="1" applyBorder="1" applyAlignment="1">
      <alignment horizontal="center" vertical="center"/>
    </xf>
    <xf numFmtId="0" fontId="27" fillId="0" borderId="233" xfId="0" applyFont="1" applyBorder="1" applyAlignment="1">
      <alignment horizontal="center" vertical="center"/>
    </xf>
    <xf numFmtId="1" fontId="27" fillId="0" borderId="1" xfId="0" applyNumberFormat="1" applyFont="1" applyBorder="1" applyAlignment="1">
      <alignment horizontal="center" vertical="center"/>
    </xf>
    <xf numFmtId="1" fontId="27" fillId="0" borderId="5" xfId="0" applyNumberFormat="1" applyFont="1" applyBorder="1" applyAlignment="1">
      <alignment horizontal="center" vertical="center"/>
    </xf>
    <xf numFmtId="0" fontId="27" fillId="0" borderId="234" xfId="0" applyFont="1" applyBorder="1" applyAlignment="1">
      <alignment horizontal="center" vertical="center"/>
    </xf>
    <xf numFmtId="1" fontId="27" fillId="0" borderId="7" xfId="0" applyNumberFormat="1" applyFont="1" applyBorder="1" applyAlignment="1">
      <alignment horizontal="center" vertical="center"/>
    </xf>
    <xf numFmtId="0" fontId="27" fillId="0" borderId="235" xfId="0" applyFont="1" applyBorder="1" applyAlignment="1">
      <alignment horizontal="center" vertical="center"/>
    </xf>
    <xf numFmtId="1" fontId="27" fillId="0" borderId="31" xfId="0" applyNumberFormat="1" applyFont="1" applyBorder="1" applyAlignment="1">
      <alignment horizontal="center" vertical="center"/>
    </xf>
    <xf numFmtId="1" fontId="27" fillId="0" borderId="9" xfId="0" applyNumberFormat="1" applyFont="1" applyBorder="1" applyAlignment="1">
      <alignment horizontal="center" vertical="center"/>
    </xf>
    <xf numFmtId="0" fontId="9" fillId="10" borderId="2" xfId="0" applyFont="1" applyFill="1" applyBorder="1" applyAlignment="1">
      <alignment horizontal="center" vertical="center" wrapText="1"/>
    </xf>
    <xf numFmtId="173" fontId="0" fillId="0" borderId="2" xfId="0" applyNumberFormat="1" applyBorder="1"/>
    <xf numFmtId="2" fontId="27" fillId="6" borderId="0" xfId="0" applyNumberFormat="1" applyFont="1" applyFill="1" applyAlignment="1">
      <alignment horizontal="center" vertical="center"/>
    </xf>
    <xf numFmtId="165" fontId="15" fillId="0" borderId="0" xfId="0" applyNumberFormat="1" applyFont="1"/>
    <xf numFmtId="0" fontId="9" fillId="0" borderId="8" xfId="0" applyFont="1" applyBorder="1" applyAlignment="1">
      <alignment horizontal="left" vertical="center"/>
    </xf>
    <xf numFmtId="0" fontId="2" fillId="0" borderId="236" xfId="0" applyFont="1" applyBorder="1" applyAlignment="1">
      <alignment horizontal="center" vertical="center"/>
    </xf>
    <xf numFmtId="0" fontId="2" fillId="0" borderId="237" xfId="0" applyFont="1" applyBorder="1" applyAlignment="1">
      <alignment horizontal="center" vertical="center"/>
    </xf>
    <xf numFmtId="0" fontId="27" fillId="0" borderId="5" xfId="0" applyFont="1" applyBorder="1" applyAlignment="1">
      <alignment horizontal="center" vertical="center"/>
    </xf>
    <xf numFmtId="0" fontId="27" fillId="0" borderId="7" xfId="0" applyFont="1" applyBorder="1" applyAlignment="1">
      <alignment horizontal="center" vertical="center"/>
    </xf>
    <xf numFmtId="0" fontId="27" fillId="0" borderId="9" xfId="0" applyFont="1" applyBorder="1" applyAlignment="1">
      <alignment horizontal="center" vertical="center"/>
    </xf>
    <xf numFmtId="1" fontId="9" fillId="0" borderId="105" xfId="0" applyNumberFormat="1" applyFont="1" applyBorder="1" applyAlignment="1">
      <alignment horizontal="center" vertical="center"/>
    </xf>
    <xf numFmtId="1" fontId="9" fillId="0" borderId="2" xfId="0" applyNumberFormat="1" applyFont="1" applyBorder="1" applyAlignment="1">
      <alignment horizontal="center" vertical="center"/>
    </xf>
    <xf numFmtId="1" fontId="9" fillId="0" borderId="11" xfId="0" applyNumberFormat="1" applyFont="1" applyBorder="1" applyAlignment="1">
      <alignment horizontal="center" vertical="center"/>
    </xf>
    <xf numFmtId="1" fontId="9" fillId="0" borderId="0" xfId="0" applyNumberFormat="1" applyFont="1" applyAlignment="1">
      <alignment horizontal="left" vertical="center"/>
    </xf>
    <xf numFmtId="0" fontId="2" fillId="0" borderId="2" xfId="0" applyFont="1" applyBorder="1" applyAlignment="1">
      <alignment horizontal="center" vertical="center" wrapText="1"/>
    </xf>
    <xf numFmtId="0" fontId="4" fillId="0" borderId="2" xfId="0" applyFont="1" applyBorder="1" applyAlignment="1">
      <alignment horizontal="center" vertical="center" wrapText="1"/>
    </xf>
    <xf numFmtId="0" fontId="4" fillId="0" borderId="2" xfId="0" applyFont="1" applyBorder="1"/>
    <xf numFmtId="0" fontId="4" fillId="0" borderId="2" xfId="0" applyFont="1" applyBorder="1" applyAlignment="1">
      <alignment horizontal="center" vertical="center"/>
    </xf>
    <xf numFmtId="2" fontId="27" fillId="0" borderId="243" xfId="0" applyNumberFormat="1" applyFont="1" applyBorder="1" applyAlignment="1">
      <alignment horizontal="center" vertical="center"/>
    </xf>
    <xf numFmtId="9" fontId="9" fillId="2" borderId="35" xfId="2" applyFont="1" applyFill="1" applyBorder="1" applyAlignment="1">
      <alignment horizontal="center" vertical="center"/>
    </xf>
    <xf numFmtId="9" fontId="9" fillId="2" borderId="35" xfId="0" applyNumberFormat="1" applyFont="1" applyFill="1" applyBorder="1" applyAlignment="1">
      <alignment horizontal="center"/>
    </xf>
    <xf numFmtId="172" fontId="28" fillId="23" borderId="109" xfId="0" applyNumberFormat="1" applyFont="1" applyFill="1" applyBorder="1" applyAlignment="1">
      <alignment vertical="center"/>
    </xf>
    <xf numFmtId="1" fontId="9" fillId="0" borderId="0" xfId="0" applyNumberFormat="1" applyFont="1"/>
    <xf numFmtId="2" fontId="9" fillId="0" borderId="0" xfId="0" applyNumberFormat="1" applyFont="1" applyAlignment="1">
      <alignment horizontal="center" vertical="center"/>
    </xf>
    <xf numFmtId="0" fontId="22" fillId="25" borderId="2" xfId="0" applyFont="1" applyFill="1" applyBorder="1" applyAlignment="1">
      <alignment horizontal="center" vertical="center" wrapText="1"/>
    </xf>
    <xf numFmtId="165" fontId="28" fillId="0" borderId="2" xfId="0" applyNumberFormat="1" applyFont="1" applyBorder="1" applyAlignment="1">
      <alignment horizontal="center" vertical="center"/>
    </xf>
    <xf numFmtId="0" fontId="22" fillId="18" borderId="2" xfId="0" applyFont="1" applyFill="1" applyBorder="1" applyAlignment="1">
      <alignment horizontal="center" vertical="center" wrapText="1"/>
    </xf>
    <xf numFmtId="3" fontId="28" fillId="0" borderId="2" xfId="0" applyNumberFormat="1" applyFont="1" applyBorder="1" applyAlignment="1">
      <alignment horizontal="center" vertical="center"/>
    </xf>
    <xf numFmtId="0" fontId="28" fillId="0" borderId="2" xfId="0" applyFont="1" applyBorder="1"/>
    <xf numFmtId="0" fontId="28" fillId="0" borderId="0" xfId="0" applyFont="1"/>
    <xf numFmtId="0" fontId="16" fillId="0" borderId="0" xfId="0" applyFont="1" applyAlignment="1">
      <alignment horizontal="center" vertical="center"/>
    </xf>
    <xf numFmtId="0" fontId="9" fillId="0" borderId="2" xfId="4" applyBorder="1" applyAlignment="1">
      <alignment horizontal="center" vertical="center"/>
    </xf>
    <xf numFmtId="0" fontId="29" fillId="0" borderId="0" xfId="0" applyFont="1" applyAlignment="1">
      <alignment horizontal="center" vertical="center"/>
    </xf>
    <xf numFmtId="0" fontId="11" fillId="0" borderId="0" xfId="0" applyFont="1" applyAlignment="1">
      <alignment wrapText="1"/>
    </xf>
    <xf numFmtId="0" fontId="11" fillId="0" borderId="0" xfId="0" applyFont="1" applyAlignment="1">
      <alignment horizontal="left"/>
    </xf>
    <xf numFmtId="0" fontId="11" fillId="0" borderId="0" xfId="0" applyFont="1" applyAlignment="1">
      <alignment horizontal="center"/>
    </xf>
    <xf numFmtId="0" fontId="28" fillId="0" borderId="0" xfId="0" applyFont="1" applyAlignment="1">
      <alignment horizontal="center" vertical="center"/>
    </xf>
    <xf numFmtId="3" fontId="9" fillId="0" borderId="0" xfId="2" applyNumberFormat="1" applyFont="1" applyFill="1" applyBorder="1" applyAlignment="1">
      <alignment horizontal="center"/>
    </xf>
    <xf numFmtId="0" fontId="9" fillId="0" borderId="0" xfId="0" applyFont="1" applyAlignment="1">
      <alignment horizontal="left" vertical="center"/>
    </xf>
    <xf numFmtId="0" fontId="9" fillId="0" borderId="0" xfId="0" applyFont="1" applyAlignment="1">
      <alignment horizontal="center"/>
    </xf>
    <xf numFmtId="0" fontId="9" fillId="0" borderId="0" xfId="0" applyFont="1" applyAlignment="1">
      <alignment horizontal="left" vertical="center" wrapText="1"/>
    </xf>
    <xf numFmtId="0" fontId="9" fillId="0" borderId="0" xfId="0" applyFont="1" applyAlignment="1">
      <alignment horizontal="left"/>
    </xf>
    <xf numFmtId="0" fontId="9" fillId="0" borderId="0" xfId="0" applyFont="1" applyAlignment="1">
      <alignment horizontal="left" wrapText="1"/>
    </xf>
    <xf numFmtId="0" fontId="9" fillId="6" borderId="0" xfId="0" applyFont="1" applyFill="1" applyAlignment="1">
      <alignment horizontal="center" vertical="center" wrapText="1"/>
    </xf>
    <xf numFmtId="4" fontId="14" fillId="0" borderId="0" xfId="0" applyNumberFormat="1" applyFont="1" applyAlignment="1">
      <alignment horizontal="center" vertical="center" wrapText="1"/>
    </xf>
    <xf numFmtId="0" fontId="23" fillId="10" borderId="2" xfId="0" applyFont="1" applyFill="1" applyBorder="1" applyAlignment="1">
      <alignment horizontal="center" vertical="center" wrapText="1"/>
    </xf>
    <xf numFmtId="0" fontId="2" fillId="0" borderId="22" xfId="0" applyFont="1" applyBorder="1" applyAlignment="1">
      <alignment horizontal="center" vertical="center"/>
    </xf>
    <xf numFmtId="0" fontId="9" fillId="0" borderId="22" xfId="0" applyFont="1" applyBorder="1" applyAlignment="1">
      <alignment horizontal="center" vertical="center"/>
    </xf>
    <xf numFmtId="0" fontId="9" fillId="0" borderId="22" xfId="0" applyFont="1" applyBorder="1" applyAlignment="1">
      <alignment horizontal="center" vertical="center" wrapText="1"/>
    </xf>
    <xf numFmtId="0" fontId="41" fillId="0" borderId="22" xfId="0" applyFont="1" applyBorder="1" applyAlignment="1">
      <alignment horizontal="center" vertical="center"/>
    </xf>
    <xf numFmtId="0" fontId="41" fillId="0" borderId="25" xfId="0" applyFont="1" applyBorder="1" applyAlignment="1">
      <alignment horizontal="center" vertical="center"/>
    </xf>
    <xf numFmtId="0" fontId="9" fillId="0" borderId="99" xfId="0" applyFont="1" applyBorder="1" applyAlignment="1">
      <alignment horizontal="center" vertical="center" wrapText="1"/>
    </xf>
    <xf numFmtId="0" fontId="22" fillId="10" borderId="99" xfId="0" applyFont="1" applyFill="1" applyBorder="1" applyAlignment="1">
      <alignment horizontal="center" vertical="center" wrapText="1"/>
    </xf>
    <xf numFmtId="0" fontId="9" fillId="0" borderId="99" xfId="0" applyFont="1" applyBorder="1" applyAlignment="1">
      <alignment horizontal="center" vertical="center"/>
    </xf>
    <xf numFmtId="0" fontId="26" fillId="0" borderId="0" xfId="0" applyFont="1" applyAlignment="1">
      <alignment horizontal="left" vertical="center" wrapText="1"/>
    </xf>
    <xf numFmtId="0" fontId="9" fillId="0" borderId="101" xfId="0" applyFont="1" applyBorder="1" applyAlignment="1">
      <alignment horizontal="center" vertical="center" wrapText="1"/>
    </xf>
    <xf numFmtId="0" fontId="9" fillId="0" borderId="99" xfId="0" applyFont="1" applyBorder="1" applyAlignment="1">
      <alignment horizontal="left" vertical="center" wrapText="1"/>
    </xf>
    <xf numFmtId="0" fontId="9" fillId="0" borderId="2" xfId="0" applyFont="1" applyBorder="1" applyAlignment="1">
      <alignment horizontal="center" vertical="center" wrapText="1"/>
    </xf>
    <xf numFmtId="0" fontId="9" fillId="0" borderId="2" xfId="0" applyFont="1" applyBorder="1" applyAlignment="1">
      <alignment horizontal="center" vertical="center"/>
    </xf>
    <xf numFmtId="0" fontId="0" fillId="0" borderId="0" xfId="0" applyAlignment="1">
      <alignment horizontal="center"/>
    </xf>
    <xf numFmtId="0" fontId="0" fillId="0" borderId="58" xfId="0" applyBorder="1" applyAlignment="1">
      <alignment horizontal="center" vertical="center"/>
    </xf>
    <xf numFmtId="0" fontId="11" fillId="2" borderId="0" xfId="0" applyFont="1" applyFill="1" applyAlignment="1">
      <alignment horizontal="left" vertical="center"/>
    </xf>
    <xf numFmtId="0" fontId="11" fillId="10" borderId="99" xfId="0" applyFont="1" applyFill="1" applyBorder="1" applyAlignment="1">
      <alignment horizontal="center" vertical="center"/>
    </xf>
    <xf numFmtId="0" fontId="22" fillId="10" borderId="35" xfId="0" applyFont="1" applyFill="1" applyBorder="1" applyAlignment="1">
      <alignment horizontal="center" vertical="center" wrapText="1"/>
    </xf>
    <xf numFmtId="0" fontId="11" fillId="10" borderId="99" xfId="0" applyFont="1" applyFill="1" applyBorder="1" applyAlignment="1">
      <alignment horizontal="center" vertical="center" wrapText="1"/>
    </xf>
    <xf numFmtId="0" fontId="2" fillId="0" borderId="99" xfId="0" applyFont="1" applyBorder="1" applyAlignment="1">
      <alignment horizontal="center" vertical="center" wrapText="1"/>
    </xf>
    <xf numFmtId="0" fontId="11" fillId="0" borderId="0" xfId="0" applyFont="1" applyAlignment="1">
      <alignment horizontal="left" vertical="center"/>
    </xf>
    <xf numFmtId="0" fontId="9" fillId="0" borderId="12" xfId="0" applyFont="1" applyBorder="1" applyAlignment="1">
      <alignment horizontal="center" vertical="center" wrapText="1"/>
    </xf>
    <xf numFmtId="0" fontId="9" fillId="0" borderId="2" xfId="0" applyFont="1" applyBorder="1" applyAlignment="1">
      <alignment horizontal="center"/>
    </xf>
    <xf numFmtId="0" fontId="27" fillId="0" borderId="1" xfId="0" applyFont="1" applyBorder="1" applyAlignment="1">
      <alignment horizontal="center" vertical="center" wrapText="1"/>
    </xf>
    <xf numFmtId="0" fontId="27" fillId="0" borderId="2" xfId="0" applyFont="1" applyBorder="1" applyAlignment="1">
      <alignment horizontal="center" vertical="center" wrapText="1"/>
    </xf>
    <xf numFmtId="0" fontId="27" fillId="0" borderId="31" xfId="0" applyFont="1" applyBorder="1" applyAlignment="1">
      <alignment horizontal="center" vertical="center" wrapText="1"/>
    </xf>
    <xf numFmtId="0" fontId="27" fillId="0" borderId="5" xfId="0" applyFont="1" applyBorder="1" applyAlignment="1">
      <alignment horizontal="center" vertical="center" wrapText="1"/>
    </xf>
    <xf numFmtId="0" fontId="27" fillId="0" borderId="7" xfId="0" applyFont="1" applyBorder="1" applyAlignment="1">
      <alignment horizontal="center" vertical="center" wrapText="1"/>
    </xf>
    <xf numFmtId="0" fontId="27" fillId="0" borderId="9" xfId="0" applyFont="1" applyBorder="1" applyAlignment="1">
      <alignment horizontal="center" vertical="center" wrapText="1"/>
    </xf>
    <xf numFmtId="0" fontId="11" fillId="10" borderId="2" xfId="0" applyFont="1" applyFill="1" applyBorder="1" applyAlignment="1">
      <alignment horizontal="center" vertical="center"/>
    </xf>
    <xf numFmtId="0" fontId="11" fillId="10" borderId="12" xfId="0" applyFont="1" applyFill="1" applyBorder="1" applyAlignment="1">
      <alignment horizontal="center" vertical="center"/>
    </xf>
    <xf numFmtId="0" fontId="22" fillId="10" borderId="2" xfId="0" applyFont="1" applyFill="1" applyBorder="1" applyAlignment="1">
      <alignment horizontal="center" vertical="center" wrapText="1"/>
    </xf>
    <xf numFmtId="0" fontId="27" fillId="0" borderId="111" xfId="0" applyFont="1" applyBorder="1" applyAlignment="1">
      <alignment horizontal="center" vertical="center"/>
    </xf>
    <xf numFmtId="0" fontId="27" fillId="0" borderId="99" xfId="0" applyFont="1" applyBorder="1" applyAlignment="1">
      <alignment horizontal="center" vertical="center"/>
    </xf>
    <xf numFmtId="0" fontId="27" fillId="0" borderId="116" xfId="0" applyFont="1" applyBorder="1" applyAlignment="1">
      <alignment horizontal="center" vertical="center"/>
    </xf>
    <xf numFmtId="0" fontId="27" fillId="0" borderId="119" xfId="0" applyFont="1" applyBorder="1" applyAlignment="1">
      <alignment horizontal="center" vertical="center"/>
    </xf>
    <xf numFmtId="0" fontId="27" fillId="0" borderId="150" xfId="0" applyFont="1" applyBorder="1" applyAlignment="1">
      <alignment horizontal="center" vertical="center"/>
    </xf>
    <xf numFmtId="0" fontId="27" fillId="0" borderId="1" xfId="0" applyFont="1" applyBorder="1" applyAlignment="1">
      <alignment horizontal="center" vertical="center"/>
    </xf>
    <xf numFmtId="0" fontId="27" fillId="0" borderId="2" xfId="0" applyFont="1" applyBorder="1" applyAlignment="1">
      <alignment horizontal="center" vertical="center"/>
    </xf>
    <xf numFmtId="0" fontId="27" fillId="0" borderId="31" xfId="0" applyFont="1" applyBorder="1" applyAlignment="1">
      <alignment horizontal="center" vertical="center"/>
    </xf>
    <xf numFmtId="0" fontId="27" fillId="0" borderId="101" xfId="0" applyFont="1" applyBorder="1" applyAlignment="1">
      <alignment horizontal="center" vertical="center"/>
    </xf>
    <xf numFmtId="0" fontId="27" fillId="0" borderId="12" xfId="0" applyFont="1" applyBorder="1" applyAlignment="1">
      <alignment horizontal="center" vertical="center" wrapText="1"/>
    </xf>
    <xf numFmtId="0" fontId="27" fillId="0" borderId="18" xfId="0" applyFont="1" applyBorder="1" applyAlignment="1">
      <alignment horizontal="center" vertical="center" wrapText="1"/>
    </xf>
    <xf numFmtId="0" fontId="27" fillId="0" borderId="167" xfId="0" applyFont="1" applyBorder="1" applyAlignment="1">
      <alignment horizontal="center" vertical="center"/>
    </xf>
    <xf numFmtId="0" fontId="27" fillId="0" borderId="186" xfId="0" applyFont="1" applyBorder="1" applyAlignment="1">
      <alignment horizontal="center" vertical="center" wrapText="1"/>
    </xf>
    <xf numFmtId="0" fontId="27" fillId="0" borderId="41" xfId="0" applyFont="1" applyBorder="1" applyAlignment="1">
      <alignment horizontal="center" vertical="center" wrapText="1"/>
    </xf>
    <xf numFmtId="0" fontId="28" fillId="0" borderId="2" xfId="0" applyFont="1" applyBorder="1" applyAlignment="1">
      <alignment horizontal="center" vertical="center"/>
    </xf>
    <xf numFmtId="0" fontId="9" fillId="0" borderId="12" xfId="0" applyFont="1" applyBorder="1" applyAlignment="1">
      <alignment horizontal="center" vertical="center"/>
    </xf>
    <xf numFmtId="0" fontId="29" fillId="10" borderId="35" xfId="0" applyFont="1" applyFill="1" applyBorder="1" applyAlignment="1">
      <alignment horizontal="center" vertical="center"/>
    </xf>
    <xf numFmtId="0" fontId="29" fillId="10" borderId="2" xfId="0" applyFont="1" applyFill="1" applyBorder="1" applyAlignment="1">
      <alignment horizontal="center" vertical="center"/>
    </xf>
    <xf numFmtId="0" fontId="4" fillId="0" borderId="2" xfId="0" applyFont="1" applyBorder="1" applyAlignment="1">
      <alignment horizontal="center"/>
    </xf>
    <xf numFmtId="2" fontId="27" fillId="0" borderId="211" xfId="0" applyNumberFormat="1" applyFont="1" applyBorder="1" applyAlignment="1">
      <alignment horizontal="center" vertical="center"/>
    </xf>
    <xf numFmtId="3" fontId="9" fillId="0" borderId="99" xfId="7" applyNumberFormat="1" applyFont="1" applyFill="1" applyBorder="1" applyAlignment="1">
      <alignment horizontal="center" vertical="center"/>
    </xf>
    <xf numFmtId="1" fontId="9" fillId="0" borderId="99" xfId="7" quotePrefix="1" applyNumberFormat="1" applyFont="1" applyBorder="1" applyAlignment="1">
      <alignment horizontal="center" vertical="center"/>
    </xf>
    <xf numFmtId="1" fontId="9" fillId="0" borderId="0" xfId="7" quotePrefix="1" applyNumberFormat="1" applyFont="1" applyAlignment="1">
      <alignment horizontal="center" vertical="center" wrapText="1"/>
    </xf>
    <xf numFmtId="0" fontId="9" fillId="0" borderId="0" xfId="0" applyFont="1" applyAlignment="1">
      <alignment horizontal="left" wrapText="1"/>
    </xf>
    <xf numFmtId="0" fontId="28" fillId="0" borderId="0" xfId="0" applyFont="1" applyAlignment="1">
      <alignment horizontal="left" vertical="center" wrapText="1"/>
    </xf>
    <xf numFmtId="0" fontId="16" fillId="12" borderId="0" xfId="0" applyFont="1" applyFill="1" applyAlignment="1">
      <alignment horizontal="center" vertical="center"/>
    </xf>
    <xf numFmtId="0" fontId="9" fillId="0" borderId="0" xfId="0" applyFont="1" applyAlignment="1">
      <alignment horizontal="left" vertical="center" wrapText="1"/>
    </xf>
    <xf numFmtId="0" fontId="9" fillId="0" borderId="0" xfId="0" applyFont="1" applyAlignment="1">
      <alignment horizontal="left"/>
    </xf>
    <xf numFmtId="0" fontId="9" fillId="0" borderId="0" xfId="0" applyFont="1" applyAlignment="1">
      <alignment horizontal="left" vertical="center"/>
    </xf>
    <xf numFmtId="0" fontId="9" fillId="0" borderId="0" xfId="0" applyFont="1" applyAlignment="1">
      <alignment horizontal="center"/>
    </xf>
    <xf numFmtId="0" fontId="11" fillId="4" borderId="19" xfId="0" applyFont="1" applyFill="1" applyBorder="1" applyAlignment="1">
      <alignment horizontal="center" vertical="center"/>
    </xf>
    <xf numFmtId="0" fontId="11" fillId="4" borderId="20" xfId="0" applyFont="1" applyFill="1" applyBorder="1" applyAlignment="1">
      <alignment horizontal="center" vertical="center"/>
    </xf>
    <xf numFmtId="0" fontId="11" fillId="4" borderId="21" xfId="0" applyFont="1" applyFill="1" applyBorder="1" applyAlignment="1">
      <alignment horizontal="center" vertical="center"/>
    </xf>
    <xf numFmtId="0" fontId="11" fillId="10" borderId="19" xfId="0" applyFont="1" applyFill="1" applyBorder="1" applyAlignment="1">
      <alignment horizontal="center" vertical="center"/>
    </xf>
    <xf numFmtId="0" fontId="11" fillId="10" borderId="20" xfId="0" applyFont="1" applyFill="1" applyBorder="1" applyAlignment="1">
      <alignment horizontal="center" vertical="center"/>
    </xf>
    <xf numFmtId="0" fontId="11" fillId="10" borderId="21" xfId="0" applyFont="1" applyFill="1" applyBorder="1" applyAlignment="1">
      <alignment horizontal="center" vertical="center"/>
    </xf>
    <xf numFmtId="0" fontId="21" fillId="0" borderId="20" xfId="0" applyFont="1" applyBorder="1" applyAlignment="1">
      <alignment horizontal="left" vertical="center"/>
    </xf>
    <xf numFmtId="0" fontId="16" fillId="12" borderId="13" xfId="1" applyFont="1" applyFill="1" applyBorder="1" applyAlignment="1">
      <alignment horizontal="center" vertical="center" wrapText="1"/>
    </xf>
    <xf numFmtId="0" fontId="16" fillId="12" borderId="14" xfId="1" applyFont="1" applyFill="1" applyBorder="1" applyAlignment="1">
      <alignment horizontal="center" vertical="center" wrapText="1"/>
    </xf>
    <xf numFmtId="0" fontId="11" fillId="0" borderId="18" xfId="0" applyFont="1" applyBorder="1" applyAlignment="1">
      <alignment horizontal="center" vertical="center"/>
    </xf>
    <xf numFmtId="0" fontId="11" fillId="0" borderId="2" xfId="0" applyFont="1" applyBorder="1" applyAlignment="1">
      <alignment horizontal="center" vertical="center"/>
    </xf>
    <xf numFmtId="0" fontId="74" fillId="0" borderId="3" xfId="0" applyFont="1" applyBorder="1" applyAlignment="1">
      <alignment horizontal="left" vertical="center"/>
    </xf>
    <xf numFmtId="0" fontId="74" fillId="0" borderId="10" xfId="0" applyFont="1" applyBorder="1" applyAlignment="1">
      <alignment horizontal="left" vertical="center"/>
    </xf>
    <xf numFmtId="0" fontId="74" fillId="0" borderId="11" xfId="0" applyFont="1" applyBorder="1" applyAlignment="1">
      <alignment horizontal="left" vertical="center"/>
    </xf>
    <xf numFmtId="0" fontId="55" fillId="0" borderId="2" xfId="5" applyFont="1" applyBorder="1" applyAlignment="1">
      <alignment horizontal="center" vertical="center"/>
    </xf>
    <xf numFmtId="9" fontId="9" fillId="0" borderId="2" xfId="0" applyNumberFormat="1" applyFont="1" applyBorder="1" applyAlignment="1">
      <alignment horizontal="center" vertical="center"/>
    </xf>
    <xf numFmtId="0" fontId="16" fillId="12" borderId="2" xfId="0" applyFont="1" applyFill="1" applyBorder="1" applyAlignment="1">
      <alignment horizontal="center" vertical="center"/>
    </xf>
    <xf numFmtId="0" fontId="9" fillId="6" borderId="72" xfId="0" applyFont="1" applyFill="1" applyBorder="1" applyAlignment="1">
      <alignment horizontal="center" vertical="center" wrapText="1"/>
    </xf>
    <xf numFmtId="0" fontId="9" fillId="6" borderId="0" xfId="0" applyFont="1" applyFill="1" applyAlignment="1">
      <alignment horizontal="center" vertical="center" wrapText="1"/>
    </xf>
    <xf numFmtId="0" fontId="9" fillId="6" borderId="73" xfId="0" applyFont="1" applyFill="1" applyBorder="1" applyAlignment="1">
      <alignment horizontal="center" vertical="center" wrapText="1"/>
    </xf>
    <xf numFmtId="0" fontId="9" fillId="6" borderId="74" xfId="0" applyFont="1" applyFill="1" applyBorder="1" applyAlignment="1">
      <alignment horizontal="center" vertical="center" wrapText="1"/>
    </xf>
    <xf numFmtId="0" fontId="9" fillId="6" borderId="75" xfId="0" applyFont="1" applyFill="1" applyBorder="1" applyAlignment="1">
      <alignment horizontal="center" vertical="center" wrapText="1"/>
    </xf>
    <xf numFmtId="0" fontId="9" fillId="6" borderId="76" xfId="0" applyFont="1" applyFill="1" applyBorder="1" applyAlignment="1">
      <alignment horizontal="center" vertical="center" wrapText="1"/>
    </xf>
    <xf numFmtId="4" fontId="14" fillId="0" borderId="0" xfId="0" applyNumberFormat="1" applyFont="1" applyAlignment="1">
      <alignment horizontal="center" vertical="center" wrapText="1"/>
    </xf>
    <xf numFmtId="0" fontId="23" fillId="10" borderId="2" xfId="0" applyFont="1" applyFill="1" applyBorder="1" applyAlignment="1">
      <alignment horizontal="center" vertical="center" wrapText="1"/>
    </xf>
    <xf numFmtId="0" fontId="9" fillId="0" borderId="22" xfId="0" applyFont="1" applyBorder="1" applyAlignment="1">
      <alignment horizontal="center" vertical="center" wrapText="1"/>
    </xf>
    <xf numFmtId="0" fontId="2" fillId="0" borderId="22" xfId="0" applyFont="1" applyBorder="1" applyAlignment="1">
      <alignment horizontal="center" vertical="center" wrapText="1"/>
    </xf>
    <xf numFmtId="0" fontId="9" fillId="0" borderId="22" xfId="0" applyFont="1" applyBorder="1" applyAlignment="1">
      <alignment horizontal="center" vertical="center"/>
    </xf>
    <xf numFmtId="0" fontId="9" fillId="0" borderId="23" xfId="0" applyFont="1" applyBorder="1" applyAlignment="1">
      <alignment horizontal="center" vertical="center" wrapText="1"/>
    </xf>
    <xf numFmtId="0" fontId="9" fillId="0" borderId="24" xfId="0" applyFont="1" applyBorder="1" applyAlignment="1">
      <alignment horizontal="center" vertical="center" wrapText="1"/>
    </xf>
    <xf numFmtId="0" fontId="9" fillId="0" borderId="25" xfId="0" applyFont="1" applyBorder="1" applyAlignment="1">
      <alignment horizontal="center" vertical="center"/>
    </xf>
    <xf numFmtId="0" fontId="9" fillId="0" borderId="23" xfId="0" applyFont="1" applyBorder="1" applyAlignment="1">
      <alignment horizontal="center" vertical="center"/>
    </xf>
    <xf numFmtId="0" fontId="9" fillId="0" borderId="24" xfId="0" applyFont="1" applyBorder="1" applyAlignment="1">
      <alignment horizontal="center" vertical="center"/>
    </xf>
    <xf numFmtId="0" fontId="9" fillId="0" borderId="27" xfId="0" applyFont="1" applyBorder="1" applyAlignment="1">
      <alignment horizontal="center" vertical="center" wrapText="1"/>
    </xf>
    <xf numFmtId="0" fontId="9" fillId="0" borderId="28" xfId="0" applyFont="1" applyBorder="1" applyAlignment="1">
      <alignment horizontal="center" vertical="center" wrapText="1"/>
    </xf>
    <xf numFmtId="0" fontId="11" fillId="10" borderId="26" xfId="0" applyFont="1" applyFill="1" applyBorder="1" applyAlignment="1">
      <alignment horizontal="center" vertical="center" wrapText="1"/>
    </xf>
    <xf numFmtId="0" fontId="11" fillId="10" borderId="27" xfId="0" applyFont="1" applyFill="1" applyBorder="1" applyAlignment="1">
      <alignment horizontal="center" vertical="center" wrapText="1"/>
    </xf>
    <xf numFmtId="0" fontId="11" fillId="10" borderId="28" xfId="0" applyFont="1" applyFill="1" applyBorder="1" applyAlignment="1">
      <alignment horizontal="center" vertical="center" wrapText="1"/>
    </xf>
    <xf numFmtId="0" fontId="16" fillId="12" borderId="32" xfId="0" applyFont="1" applyFill="1" applyBorder="1" applyAlignment="1">
      <alignment horizontal="center" vertical="center"/>
    </xf>
    <xf numFmtId="0" fontId="9" fillId="0" borderId="29" xfId="0" applyFont="1" applyBorder="1" applyAlignment="1">
      <alignment horizontal="left" vertical="center" wrapText="1"/>
    </xf>
    <xf numFmtId="0" fontId="41" fillId="0" borderId="0" xfId="0" applyFont="1" applyAlignment="1">
      <alignment horizontal="left" wrapText="1"/>
    </xf>
    <xf numFmtId="0" fontId="41" fillId="0" borderId="0" xfId="0" applyFont="1" applyAlignment="1">
      <alignment horizontal="left"/>
    </xf>
    <xf numFmtId="0" fontId="41" fillId="0" borderId="22" xfId="0" applyFont="1" applyBorder="1" applyAlignment="1">
      <alignment horizontal="center" vertical="center"/>
    </xf>
    <xf numFmtId="0" fontId="41" fillId="0" borderId="22" xfId="0" applyFont="1" applyBorder="1" applyAlignment="1">
      <alignment horizontal="center" vertical="center" wrapText="1"/>
    </xf>
    <xf numFmtId="0" fontId="41" fillId="0" borderId="25" xfId="0" applyFont="1" applyBorder="1" applyAlignment="1">
      <alignment horizontal="center" vertical="center" wrapText="1"/>
    </xf>
    <xf numFmtId="0" fontId="41" fillId="0" borderId="24" xfId="0" applyFont="1" applyBorder="1" applyAlignment="1">
      <alignment horizontal="center" vertical="center" wrapText="1"/>
    </xf>
    <xf numFmtId="0" fontId="41" fillId="0" borderId="25" xfId="0" applyFont="1" applyBorder="1" applyAlignment="1">
      <alignment horizontal="center" vertical="center"/>
    </xf>
    <xf numFmtId="0" fontId="41" fillId="0" borderId="23" xfId="0" applyFont="1" applyBorder="1" applyAlignment="1">
      <alignment horizontal="center" vertical="center"/>
    </xf>
    <xf numFmtId="0" fontId="41" fillId="0" borderId="24" xfId="0" applyFont="1" applyBorder="1" applyAlignment="1">
      <alignment horizontal="center" vertical="center"/>
    </xf>
    <xf numFmtId="0" fontId="41" fillId="0" borderId="23" xfId="0" applyFont="1" applyBorder="1" applyAlignment="1">
      <alignment horizontal="center" vertical="center" wrapText="1"/>
    </xf>
    <xf numFmtId="0" fontId="9" fillId="0" borderId="0" xfId="0" applyFont="1" applyAlignment="1">
      <alignment horizontal="left" vertical="top" wrapText="1"/>
    </xf>
    <xf numFmtId="0" fontId="12" fillId="0" borderId="34" xfId="5" applyBorder="1" applyAlignment="1">
      <alignment horizontal="left"/>
    </xf>
    <xf numFmtId="0" fontId="9" fillId="0" borderId="25" xfId="0" applyFont="1" applyBorder="1" applyAlignment="1">
      <alignment horizontal="center" vertical="center" wrapText="1"/>
    </xf>
    <xf numFmtId="0" fontId="16" fillId="12" borderId="0" xfId="0" applyFont="1" applyFill="1" applyAlignment="1">
      <alignment horizontal="center" vertical="center" wrapText="1"/>
    </xf>
    <xf numFmtId="0" fontId="2" fillId="0" borderId="22" xfId="0" applyFont="1" applyBorder="1" applyAlignment="1">
      <alignment horizontal="center" vertical="center"/>
    </xf>
    <xf numFmtId="0" fontId="9" fillId="0" borderId="34" xfId="0" applyFont="1" applyBorder="1" applyAlignment="1">
      <alignment horizontal="left" vertical="center" wrapText="1"/>
    </xf>
    <xf numFmtId="0" fontId="27" fillId="0" borderId="3" xfId="0" applyFont="1" applyBorder="1" applyAlignment="1">
      <alignment horizontal="left"/>
    </xf>
    <xf numFmtId="0" fontId="27" fillId="0" borderId="11" xfId="0" applyFont="1" applyBorder="1" applyAlignment="1">
      <alignment horizontal="left"/>
    </xf>
    <xf numFmtId="0" fontId="16" fillId="12" borderId="20" xfId="0" applyFont="1" applyFill="1" applyBorder="1" applyAlignment="1">
      <alignment horizontal="center" vertical="center" wrapText="1"/>
    </xf>
    <xf numFmtId="0" fontId="9" fillId="0" borderId="12" xfId="0" applyFont="1" applyBorder="1" applyAlignment="1">
      <alignment horizontal="center" vertical="center" wrapText="1"/>
    </xf>
    <xf numFmtId="0" fontId="9" fillId="0" borderId="16" xfId="0" applyFont="1" applyBorder="1" applyAlignment="1">
      <alignment horizontal="center" vertical="center" wrapText="1"/>
    </xf>
    <xf numFmtId="0" fontId="9" fillId="0" borderId="18" xfId="0" applyFont="1" applyBorder="1" applyAlignment="1">
      <alignment horizontal="center" vertical="center" wrapText="1"/>
    </xf>
    <xf numFmtId="0" fontId="9" fillId="0" borderId="99" xfId="0" applyFont="1" applyBorder="1" applyAlignment="1">
      <alignment horizontal="center" vertical="center"/>
    </xf>
    <xf numFmtId="0" fontId="9" fillId="0" borderId="104" xfId="0" applyFont="1" applyBorder="1" applyAlignment="1">
      <alignment horizontal="center" vertical="center" wrapText="1"/>
    </xf>
    <xf numFmtId="0" fontId="9" fillId="0" borderId="101" xfId="0" applyFont="1" applyBorder="1" applyAlignment="1">
      <alignment horizontal="center" vertical="center" wrapText="1"/>
    </xf>
    <xf numFmtId="0" fontId="9" fillId="0" borderId="99" xfId="0" applyFont="1" applyBorder="1" applyAlignment="1">
      <alignment horizontal="left" vertical="center" wrapText="1"/>
    </xf>
    <xf numFmtId="0" fontId="54" fillId="19" borderId="103" xfId="0" applyFont="1" applyFill="1" applyBorder="1" applyAlignment="1">
      <alignment horizontal="center" vertical="center"/>
    </xf>
    <xf numFmtId="0" fontId="9" fillId="0" borderId="15" xfId="0" applyFont="1" applyBorder="1" applyAlignment="1">
      <alignment horizontal="center" vertical="center" wrapText="1"/>
    </xf>
    <xf numFmtId="0" fontId="9" fillId="0" borderId="2" xfId="0" applyFont="1" applyBorder="1" applyAlignment="1">
      <alignment horizontal="center" vertical="center" wrapText="1"/>
    </xf>
    <xf numFmtId="0" fontId="9" fillId="0" borderId="101" xfId="0" applyFont="1" applyBorder="1" applyAlignment="1">
      <alignment horizontal="center"/>
    </xf>
    <xf numFmtId="0" fontId="9" fillId="0" borderId="2" xfId="0" applyFont="1" applyBorder="1" applyAlignment="1">
      <alignment horizontal="center" vertical="center"/>
    </xf>
    <xf numFmtId="0" fontId="64" fillId="11" borderId="35" xfId="0" applyFont="1" applyFill="1" applyBorder="1" applyAlignment="1">
      <alignment horizontal="center" vertical="center"/>
    </xf>
    <xf numFmtId="0" fontId="64" fillId="11" borderId="35" xfId="0" applyFont="1" applyFill="1" applyBorder="1" applyAlignment="1">
      <alignment horizontal="center" vertical="center" wrapText="1"/>
    </xf>
    <xf numFmtId="0" fontId="9" fillId="22" borderId="101" xfId="0" quotePrefix="1" applyFont="1" applyFill="1" applyBorder="1" applyAlignment="1">
      <alignment horizontal="center" vertical="center" wrapText="1"/>
    </xf>
    <xf numFmtId="0" fontId="26" fillId="0" borderId="0" xfId="0" applyFont="1" applyAlignment="1">
      <alignment horizontal="left" vertical="center" wrapText="1"/>
    </xf>
    <xf numFmtId="0" fontId="62" fillId="11" borderId="35" xfId="0" applyFont="1" applyFill="1" applyBorder="1" applyAlignment="1">
      <alignment horizontal="center" vertical="center"/>
    </xf>
    <xf numFmtId="0" fontId="9" fillId="0" borderId="99" xfId="0" applyFont="1" applyBorder="1" applyAlignment="1">
      <alignment horizontal="center" vertical="center" wrapText="1"/>
    </xf>
    <xf numFmtId="0" fontId="22" fillId="10" borderId="99" xfId="0" applyFont="1" applyFill="1" applyBorder="1" applyAlignment="1">
      <alignment horizontal="center" vertical="center" wrapText="1"/>
    </xf>
    <xf numFmtId="0" fontId="9" fillId="0" borderId="99" xfId="0" applyFont="1" applyBorder="1" applyAlignment="1">
      <alignment horizontal="center"/>
    </xf>
    <xf numFmtId="0" fontId="0" fillId="0" borderId="91" xfId="0" applyBorder="1" applyAlignment="1">
      <alignment horizontal="center" vertical="center" wrapText="1"/>
    </xf>
    <xf numFmtId="0" fontId="0" fillId="0" borderId="92" xfId="0" applyBorder="1" applyAlignment="1">
      <alignment horizontal="center" vertical="center"/>
    </xf>
    <xf numFmtId="0" fontId="0" fillId="0" borderId="93" xfId="0" applyBorder="1" applyAlignment="1">
      <alignment horizontal="center" vertical="center"/>
    </xf>
    <xf numFmtId="0" fontId="0" fillId="0" borderId="94" xfId="0" applyBorder="1" applyAlignment="1">
      <alignment horizontal="center" vertical="center" wrapText="1"/>
    </xf>
    <xf numFmtId="0" fontId="0" fillId="0" borderId="95" xfId="0" applyBorder="1" applyAlignment="1">
      <alignment horizontal="center" vertical="center"/>
    </xf>
    <xf numFmtId="0" fontId="0" fillId="0" borderId="96" xfId="0" applyBorder="1" applyAlignment="1">
      <alignment horizontal="center" vertical="center"/>
    </xf>
    <xf numFmtId="0" fontId="0" fillId="0" borderId="0" xfId="0" applyAlignment="1">
      <alignment horizontal="left" wrapText="1"/>
    </xf>
    <xf numFmtId="0" fontId="4" fillId="0" borderId="0" xfId="0" applyFont="1" applyAlignment="1">
      <alignment horizontal="left" wrapText="1"/>
    </xf>
    <xf numFmtId="0" fontId="51" fillId="0" borderId="67" xfId="0" applyFont="1" applyBorder="1" applyAlignment="1">
      <alignment horizontal="center" vertical="center" wrapText="1"/>
    </xf>
    <xf numFmtId="0" fontId="51" fillId="0" borderId="83" xfId="0" applyFont="1" applyBorder="1" applyAlignment="1">
      <alignment horizontal="center" vertical="center" wrapText="1"/>
    </xf>
    <xf numFmtId="0" fontId="51" fillId="0" borderId="78" xfId="0" applyFont="1" applyBorder="1" applyAlignment="1">
      <alignment horizontal="center" vertical="center" wrapText="1"/>
    </xf>
    <xf numFmtId="0" fontId="51" fillId="0" borderId="79" xfId="0" applyFont="1" applyBorder="1" applyAlignment="1">
      <alignment horizontal="center" vertical="center" wrapText="1"/>
    </xf>
    <xf numFmtId="0" fontId="51" fillId="0" borderId="82" xfId="0" applyFont="1" applyBorder="1" applyAlignment="1">
      <alignment horizontal="center" vertical="center" wrapText="1"/>
    </xf>
    <xf numFmtId="0" fontId="51" fillId="0" borderId="80" xfId="0" applyFont="1" applyBorder="1" applyAlignment="1">
      <alignment horizontal="center" vertical="center" wrapText="1"/>
    </xf>
    <xf numFmtId="0" fontId="42" fillId="0" borderId="66" xfId="0" applyFont="1" applyBorder="1" applyAlignment="1">
      <alignment horizontal="center" wrapText="1"/>
    </xf>
    <xf numFmtId="0" fontId="42" fillId="0" borderId="77" xfId="0" applyFont="1" applyBorder="1" applyAlignment="1">
      <alignment horizontal="center" wrapText="1"/>
    </xf>
    <xf numFmtId="0" fontId="0" fillId="0" borderId="66" xfId="0" applyBorder="1" applyAlignment="1">
      <alignment horizontal="center" vertical="center"/>
    </xf>
    <xf numFmtId="0" fontId="0" fillId="0" borderId="84" xfId="0" applyBorder="1" applyAlignment="1">
      <alignment horizontal="center" vertical="center"/>
    </xf>
    <xf numFmtId="0" fontId="51" fillId="0" borderId="85" xfId="0" applyFont="1" applyBorder="1" applyAlignment="1">
      <alignment horizontal="center" wrapText="1"/>
    </xf>
    <xf numFmtId="0" fontId="51" fillId="0" borderId="87" xfId="0" applyFont="1" applyBorder="1" applyAlignment="1">
      <alignment horizontal="center" wrapText="1"/>
    </xf>
    <xf numFmtId="0" fontId="51" fillId="0" borderId="86" xfId="0" applyFont="1" applyBorder="1" applyAlignment="1">
      <alignment horizontal="center" wrapText="1"/>
    </xf>
    <xf numFmtId="0" fontId="0" fillId="0" borderId="58" xfId="0" applyBorder="1" applyAlignment="1">
      <alignment horizontal="center" vertical="center"/>
    </xf>
    <xf numFmtId="0" fontId="0" fillId="0" borderId="77" xfId="0" applyBorder="1" applyAlignment="1">
      <alignment horizontal="center" vertical="center"/>
    </xf>
    <xf numFmtId="0" fontId="0" fillId="0" borderId="58" xfId="0" applyBorder="1" applyAlignment="1">
      <alignment horizontal="center" vertical="center" wrapText="1"/>
    </xf>
    <xf numFmtId="0" fontId="0" fillId="0" borderId="78" xfId="0" applyBorder="1" applyAlignment="1">
      <alignment horizontal="center" vertical="center" wrapText="1"/>
    </xf>
    <xf numFmtId="0" fontId="0" fillId="0" borderId="79" xfId="0" applyBorder="1" applyAlignment="1">
      <alignment horizontal="center" vertical="center" wrapText="1"/>
    </xf>
    <xf numFmtId="0" fontId="0" fillId="0" borderId="82" xfId="0" applyBorder="1" applyAlignment="1">
      <alignment horizontal="center" vertical="center" wrapText="1"/>
    </xf>
    <xf numFmtId="0" fontId="0" fillId="0" borderId="80" xfId="0" applyBorder="1" applyAlignment="1">
      <alignment horizontal="center" vertical="center" wrapText="1"/>
    </xf>
    <xf numFmtId="0" fontId="11" fillId="2" borderId="0" xfId="0" applyFont="1" applyFill="1" applyAlignment="1">
      <alignment horizontal="left" vertical="center"/>
    </xf>
    <xf numFmtId="0" fontId="0" fillId="0" borderId="0" xfId="0" applyAlignment="1">
      <alignment horizontal="center"/>
    </xf>
    <xf numFmtId="0" fontId="0" fillId="0" borderId="67" xfId="0" applyBorder="1" applyAlignment="1">
      <alignment horizontal="center" vertical="center" wrapText="1"/>
    </xf>
    <xf numFmtId="0" fontId="0" fillId="0" borderId="83" xfId="0" applyBorder="1" applyAlignment="1">
      <alignment horizontal="center" vertical="center" wrapText="1"/>
    </xf>
    <xf numFmtId="0" fontId="51" fillId="0" borderId="66" xfId="0" applyFont="1" applyBorder="1" applyAlignment="1">
      <alignment horizontal="center" vertical="center" wrapText="1"/>
    </xf>
    <xf numFmtId="0" fontId="51" fillId="0" borderId="77" xfId="0" applyFont="1" applyBorder="1" applyAlignment="1">
      <alignment horizontal="center" vertical="center" wrapText="1"/>
    </xf>
    <xf numFmtId="0" fontId="0" fillId="0" borderId="66" xfId="0" applyBorder="1" applyAlignment="1">
      <alignment horizontal="center" vertical="center" wrapText="1"/>
    </xf>
    <xf numFmtId="0" fontId="0" fillId="0" borderId="77" xfId="0" applyBorder="1" applyAlignment="1">
      <alignment horizontal="center" vertical="center" wrapText="1"/>
    </xf>
    <xf numFmtId="0" fontId="0" fillId="0" borderId="2" xfId="0" applyBorder="1" applyAlignment="1">
      <alignment horizontal="center" vertical="center"/>
    </xf>
    <xf numFmtId="0" fontId="28" fillId="0" borderId="91" xfId="0" applyFont="1" applyBorder="1" applyAlignment="1">
      <alignment horizontal="center" vertical="center" wrapText="1"/>
    </xf>
    <xf numFmtId="0" fontId="28" fillId="0" borderId="92" xfId="0" applyFont="1" applyBorder="1" applyAlignment="1">
      <alignment horizontal="center" vertical="center" wrapText="1"/>
    </xf>
    <xf numFmtId="0" fontId="28" fillId="0" borderId="93" xfId="0" applyFont="1" applyBorder="1" applyAlignment="1">
      <alignment horizontal="center" vertical="center" wrapText="1"/>
    </xf>
    <xf numFmtId="0" fontId="4" fillId="0" borderId="3" xfId="0" applyFont="1" applyBorder="1" applyAlignment="1">
      <alignment horizontal="center"/>
    </xf>
    <xf numFmtId="0" fontId="4" fillId="0" borderId="10" xfId="0" applyFont="1" applyBorder="1" applyAlignment="1">
      <alignment horizontal="center"/>
    </xf>
    <xf numFmtId="0" fontId="4" fillId="0" borderId="11" xfId="0" applyFont="1" applyBorder="1" applyAlignment="1">
      <alignment horizontal="center"/>
    </xf>
    <xf numFmtId="0" fontId="51" fillId="0" borderId="67" xfId="0" applyFont="1" applyBorder="1" applyAlignment="1">
      <alignment horizontal="center" wrapText="1"/>
    </xf>
    <xf numFmtId="0" fontId="51" fillId="0" borderId="68" xfId="0" applyFont="1" applyBorder="1" applyAlignment="1">
      <alignment horizontal="center" wrapText="1"/>
    </xf>
    <xf numFmtId="0" fontId="51" fillId="0" borderId="83" xfId="0" applyFont="1" applyBorder="1" applyAlignment="1">
      <alignment horizontal="center" wrapText="1"/>
    </xf>
    <xf numFmtId="0" fontId="57" fillId="0" borderId="0" xfId="0" applyFont="1" applyAlignment="1">
      <alignment horizontal="left" wrapText="1"/>
    </xf>
    <xf numFmtId="0" fontId="57" fillId="0" borderId="0" xfId="0" applyFont="1" applyAlignment="1">
      <alignment horizontal="left"/>
    </xf>
    <xf numFmtId="0" fontId="42" fillId="0" borderId="0" xfId="0" applyFont="1" applyAlignment="1">
      <alignment horizontal="left"/>
    </xf>
    <xf numFmtId="0" fontId="25" fillId="0" borderId="0" xfId="0" applyFont="1" applyAlignment="1">
      <alignment horizontal="center" vertical="center"/>
    </xf>
    <xf numFmtId="0" fontId="0" fillId="0" borderId="2" xfId="0" applyBorder="1" applyAlignment="1">
      <alignment horizontal="center" wrapText="1"/>
    </xf>
    <xf numFmtId="0" fontId="16" fillId="12" borderId="103" xfId="0" applyFont="1" applyFill="1" applyBorder="1" applyAlignment="1">
      <alignment horizontal="center" vertical="center" wrapText="1"/>
    </xf>
    <xf numFmtId="0" fontId="9" fillId="0" borderId="99" xfId="0" applyFont="1" applyBorder="1" applyAlignment="1">
      <alignment horizontal="center" wrapText="1"/>
    </xf>
    <xf numFmtId="1" fontId="14" fillId="0" borderId="99" xfId="3" applyNumberFormat="1" applyFont="1" applyFill="1" applyBorder="1" applyAlignment="1">
      <alignment horizontal="center" vertical="center" wrapText="1"/>
    </xf>
    <xf numFmtId="0" fontId="11" fillId="10" borderId="99" xfId="0" applyFont="1" applyFill="1" applyBorder="1" applyAlignment="1">
      <alignment horizontal="center" vertical="center"/>
    </xf>
    <xf numFmtId="0" fontId="16" fillId="12" borderId="19" xfId="0" applyFont="1" applyFill="1" applyBorder="1" applyAlignment="1">
      <alignment horizontal="center" vertical="center" wrapText="1"/>
    </xf>
    <xf numFmtId="0" fontId="2" fillId="0" borderId="35" xfId="0" applyFont="1" applyBorder="1" applyAlignment="1">
      <alignment horizontal="left" vertical="center" wrapText="1"/>
    </xf>
    <xf numFmtId="0" fontId="2" fillId="0" borderId="35" xfId="0" applyFont="1" applyBorder="1" applyAlignment="1">
      <alignment horizontal="left" vertical="center"/>
    </xf>
    <xf numFmtId="0" fontId="22" fillId="10" borderId="35" xfId="0" applyFont="1" applyFill="1" applyBorder="1" applyAlignment="1">
      <alignment horizontal="center" vertical="center" wrapText="1"/>
    </xf>
    <xf numFmtId="0" fontId="11" fillId="10" borderId="99"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2" fillId="0" borderId="99" xfId="0" applyFont="1" applyBorder="1" applyAlignment="1">
      <alignment horizontal="center" vertical="center" wrapText="1"/>
    </xf>
    <xf numFmtId="0" fontId="9" fillId="0" borderId="0" xfId="0" applyFont="1" applyAlignment="1">
      <alignment horizontal="center" wrapText="1"/>
    </xf>
    <xf numFmtId="0" fontId="16" fillId="12" borderId="20" xfId="0" applyFont="1" applyFill="1" applyBorder="1" applyAlignment="1">
      <alignment horizontal="center" vertical="center"/>
    </xf>
    <xf numFmtId="0" fontId="9" fillId="11" borderId="2" xfId="0" applyFont="1" applyFill="1" applyBorder="1" applyAlignment="1">
      <alignment horizontal="left" vertical="center"/>
    </xf>
    <xf numFmtId="0" fontId="38" fillId="13" borderId="66" xfId="0" applyFont="1" applyFill="1" applyBorder="1" applyAlignment="1">
      <alignment horizontal="center"/>
    </xf>
    <xf numFmtId="0" fontId="38" fillId="13" borderId="77" xfId="0" applyFont="1" applyFill="1" applyBorder="1" applyAlignment="1">
      <alignment horizontal="center"/>
    </xf>
    <xf numFmtId="0" fontId="29" fillId="10" borderId="102" xfId="0" applyFont="1" applyFill="1" applyBorder="1" applyAlignment="1">
      <alignment horizontal="center" vertical="center" wrapText="1"/>
    </xf>
    <xf numFmtId="0" fontId="29" fillId="10" borderId="104" xfId="0" applyFont="1" applyFill="1" applyBorder="1" applyAlignment="1">
      <alignment horizontal="center" vertical="center" wrapText="1"/>
    </xf>
    <xf numFmtId="0" fontId="9" fillId="0" borderId="2" xfId="0" applyFont="1" applyBorder="1" applyAlignment="1">
      <alignment horizontal="center"/>
    </xf>
    <xf numFmtId="0" fontId="12" fillId="0" borderId="0" xfId="5" applyBorder="1" applyAlignment="1">
      <alignment horizontal="center" vertical="center"/>
    </xf>
    <xf numFmtId="0" fontId="11" fillId="0" borderId="0" xfId="0" applyFont="1" applyAlignment="1">
      <alignment horizontal="left" vertical="center"/>
    </xf>
    <xf numFmtId="0" fontId="27" fillId="0" borderId="163" xfId="0" applyFont="1" applyBorder="1" applyAlignment="1">
      <alignment horizontal="center" vertical="center" wrapText="1"/>
    </xf>
    <xf numFmtId="0" fontId="27" fillId="0" borderId="164" xfId="0" applyFont="1" applyBorder="1" applyAlignment="1">
      <alignment horizontal="center" vertical="center" wrapText="1"/>
    </xf>
    <xf numFmtId="0" fontId="27" fillId="0" borderId="166" xfId="0" applyFont="1" applyBorder="1" applyAlignment="1">
      <alignment horizontal="center" vertical="center" wrapText="1"/>
    </xf>
    <xf numFmtId="3" fontId="27" fillId="0" borderId="150" xfId="0" applyNumberFormat="1" applyFont="1" applyBorder="1" applyAlignment="1">
      <alignment horizontal="center" vertical="center" wrapText="1"/>
    </xf>
    <xf numFmtId="0" fontId="27" fillId="0" borderId="99" xfId="0" applyFont="1" applyBorder="1" applyAlignment="1">
      <alignment horizontal="center" vertical="center" wrapText="1"/>
    </xf>
    <xf numFmtId="0" fontId="27" fillId="0" borderId="157" xfId="0" applyFont="1" applyBorder="1" applyAlignment="1">
      <alignment horizontal="center" vertical="center" wrapText="1"/>
    </xf>
    <xf numFmtId="0" fontId="27" fillId="0" borderId="150" xfId="0" applyFont="1" applyBorder="1" applyAlignment="1">
      <alignment horizontal="center" vertical="center" wrapText="1"/>
    </xf>
    <xf numFmtId="0" fontId="27" fillId="0" borderId="238" xfId="0" applyFont="1" applyBorder="1" applyAlignment="1">
      <alignment horizontal="center" vertical="center" wrapText="1"/>
    </xf>
    <xf numFmtId="0" fontId="27" fillId="0" borderId="102" xfId="0" applyFont="1" applyBorder="1" applyAlignment="1">
      <alignment horizontal="center" vertical="center" wrapText="1"/>
    </xf>
    <xf numFmtId="0" fontId="27" fillId="0" borderId="239" xfId="0" applyFont="1" applyBorder="1" applyAlignment="1">
      <alignment horizontal="center" vertical="center" wrapText="1"/>
    </xf>
    <xf numFmtId="0" fontId="27" fillId="0" borderId="4" xfId="0" applyFont="1" applyBorder="1" applyAlignment="1">
      <alignment horizontal="center" vertical="center" wrapText="1"/>
    </xf>
    <xf numFmtId="0" fontId="27" fillId="0" borderId="6" xfId="0" applyFont="1" applyBorder="1" applyAlignment="1">
      <alignment horizontal="center" vertical="center" wrapText="1"/>
    </xf>
    <xf numFmtId="0" fontId="27" fillId="0" borderId="8" xfId="0" applyFont="1" applyBorder="1" applyAlignment="1">
      <alignment horizontal="center" vertical="center" wrapText="1"/>
    </xf>
    <xf numFmtId="0" fontId="27" fillId="0" borderId="1" xfId="0" applyFont="1" applyBorder="1" applyAlignment="1">
      <alignment horizontal="center" vertical="center" wrapText="1"/>
    </xf>
    <xf numFmtId="0" fontId="27" fillId="0" borderId="2" xfId="0" applyFont="1" applyBorder="1" applyAlignment="1">
      <alignment horizontal="center" vertical="center" wrapText="1"/>
    </xf>
    <xf numFmtId="0" fontId="27" fillId="0" borderId="31" xfId="0" applyFont="1" applyBorder="1" applyAlignment="1">
      <alignment horizontal="center" vertical="center" wrapText="1"/>
    </xf>
    <xf numFmtId="0" fontId="27" fillId="0" borderId="5" xfId="0" applyFont="1" applyBorder="1" applyAlignment="1">
      <alignment horizontal="center" vertical="center" wrapText="1"/>
    </xf>
    <xf numFmtId="0" fontId="27" fillId="0" borderId="7" xfId="0" applyFont="1" applyBorder="1" applyAlignment="1">
      <alignment horizontal="center" vertical="center" wrapText="1"/>
    </xf>
    <xf numFmtId="0" fontId="27" fillId="0" borderId="9" xfId="0" applyFont="1" applyBorder="1" applyAlignment="1">
      <alignment horizontal="center" vertical="center" wrapText="1"/>
    </xf>
    <xf numFmtId="0" fontId="27" fillId="0" borderId="185" xfId="0" applyFont="1" applyBorder="1" applyAlignment="1">
      <alignment horizontal="center" vertical="center" wrapText="1"/>
    </xf>
    <xf numFmtId="0" fontId="27" fillId="0" borderId="148" xfId="0" applyFont="1" applyBorder="1" applyAlignment="1">
      <alignment horizontal="center" vertical="center" wrapText="1"/>
    </xf>
    <xf numFmtId="0" fontId="27" fillId="0" borderId="18" xfId="0" applyFont="1" applyBorder="1" applyAlignment="1">
      <alignment horizontal="center" vertical="center" wrapText="1"/>
    </xf>
    <xf numFmtId="0" fontId="27" fillId="0" borderId="12" xfId="0" applyFont="1" applyBorder="1" applyAlignment="1">
      <alignment horizontal="center" vertical="center" wrapText="1"/>
    </xf>
    <xf numFmtId="0" fontId="27" fillId="0" borderId="186" xfId="0" applyFont="1" applyBorder="1" applyAlignment="1">
      <alignment horizontal="center" vertical="center" wrapText="1"/>
    </xf>
    <xf numFmtId="0" fontId="27" fillId="0" borderId="41" xfId="0" applyFont="1" applyBorder="1" applyAlignment="1">
      <alignment horizontal="center" vertical="center" wrapText="1"/>
    </xf>
    <xf numFmtId="0" fontId="27" fillId="0" borderId="149" xfId="0" applyFont="1" applyBorder="1" applyAlignment="1">
      <alignment horizontal="center" vertical="center" wrapText="1"/>
    </xf>
    <xf numFmtId="0" fontId="27" fillId="0" borderId="154" xfId="0" applyFont="1" applyBorder="1" applyAlignment="1">
      <alignment horizontal="center" vertical="center" wrapText="1"/>
    </xf>
    <xf numFmtId="0" fontId="27" fillId="0" borderId="222" xfId="0" applyFont="1" applyBorder="1" applyAlignment="1">
      <alignment horizontal="center" vertical="center"/>
    </xf>
    <xf numFmtId="0" fontId="27" fillId="0" borderId="198" xfId="0" applyFont="1" applyBorder="1" applyAlignment="1">
      <alignment horizontal="center" vertical="center"/>
    </xf>
    <xf numFmtId="0" fontId="27" fillId="0" borderId="199" xfId="0" applyFont="1" applyBorder="1" applyAlignment="1">
      <alignment horizontal="center" vertical="center"/>
    </xf>
    <xf numFmtId="0" fontId="27" fillId="0" borderId="119" xfId="0" applyFont="1" applyBorder="1" applyAlignment="1">
      <alignment horizontal="center" vertical="center" wrapText="1"/>
    </xf>
    <xf numFmtId="0" fontId="27" fillId="0" borderId="101" xfId="0" applyFont="1" applyBorder="1" applyAlignment="1">
      <alignment horizontal="center" vertical="center" wrapText="1"/>
    </xf>
    <xf numFmtId="0" fontId="27" fillId="0" borderId="153" xfId="0" applyFont="1" applyBorder="1" applyAlignment="1">
      <alignment horizontal="center" vertical="center" wrapText="1"/>
    </xf>
    <xf numFmtId="0" fontId="27" fillId="0" borderId="155" xfId="0" applyFont="1" applyBorder="1" applyAlignment="1">
      <alignment horizontal="center" vertical="center" wrapText="1"/>
    </xf>
    <xf numFmtId="0" fontId="27" fillId="0" borderId="211" xfId="0" applyFont="1" applyBorder="1" applyAlignment="1">
      <alignment horizontal="center" vertical="center" wrapText="1"/>
    </xf>
    <xf numFmtId="0" fontId="27" fillId="0" borderId="111" xfId="0" applyFont="1" applyBorder="1" applyAlignment="1">
      <alignment horizontal="center" vertical="center" wrapText="1"/>
    </xf>
    <xf numFmtId="0" fontId="27" fillId="0" borderId="156" xfId="0" applyFont="1" applyBorder="1" applyAlignment="1">
      <alignment horizontal="center" vertical="center" wrapText="1"/>
    </xf>
    <xf numFmtId="0" fontId="27" fillId="0" borderId="116" xfId="0" applyFont="1" applyBorder="1" applyAlignment="1">
      <alignment horizontal="center" vertical="center" wrapText="1"/>
    </xf>
    <xf numFmtId="0" fontId="69" fillId="0" borderId="212" xfId="0" applyFont="1" applyBorder="1" applyAlignment="1">
      <alignment horizontal="center" vertical="center" wrapText="1"/>
    </xf>
    <xf numFmtId="0" fontId="69" fillId="0" borderId="155" xfId="0" applyFont="1" applyBorder="1" applyAlignment="1">
      <alignment horizontal="center" vertical="center" wrapText="1"/>
    </xf>
    <xf numFmtId="0" fontId="69" fillId="0" borderId="221" xfId="0" applyFont="1" applyBorder="1" applyAlignment="1">
      <alignment horizontal="center" vertical="center" wrapText="1"/>
    </xf>
    <xf numFmtId="0" fontId="77" fillId="0" borderId="151" xfId="0" applyFont="1" applyBorder="1" applyAlignment="1">
      <alignment horizontal="center" vertical="center" wrapText="1"/>
    </xf>
    <xf numFmtId="0" fontId="77" fillId="0" borderId="114" xfId="0" applyFont="1" applyBorder="1" applyAlignment="1">
      <alignment horizontal="center" vertical="center" wrapText="1"/>
    </xf>
    <xf numFmtId="0" fontId="77" fillId="0" borderId="158" xfId="0" applyFont="1" applyBorder="1" applyAlignment="1">
      <alignment horizontal="center" vertical="center" wrapText="1"/>
    </xf>
    <xf numFmtId="0" fontId="27" fillId="0" borderId="212" xfId="0" applyFont="1" applyBorder="1" applyAlignment="1">
      <alignment horizontal="center" vertical="center" wrapText="1"/>
    </xf>
    <xf numFmtId="0" fontId="27" fillId="0" borderId="221" xfId="0" applyFont="1" applyBorder="1" applyAlignment="1">
      <alignment horizontal="center" vertical="center" wrapText="1"/>
    </xf>
    <xf numFmtId="0" fontId="65" fillId="0" borderId="219" xfId="0" applyFont="1" applyBorder="1" applyAlignment="1">
      <alignment horizontal="center" vertical="center" wrapText="1"/>
    </xf>
    <xf numFmtId="0" fontId="65" fillId="0" borderId="154" xfId="0" applyFont="1" applyBorder="1" applyAlignment="1">
      <alignment horizontal="center" vertical="center" wrapText="1"/>
    </xf>
    <xf numFmtId="0" fontId="65" fillId="0" borderId="156" xfId="0" applyFont="1" applyBorder="1" applyAlignment="1">
      <alignment horizontal="center" vertical="center" wrapText="1"/>
    </xf>
    <xf numFmtId="0" fontId="65" fillId="0" borderId="111" xfId="0" applyFont="1" applyBorder="1" applyAlignment="1">
      <alignment horizontal="center" vertical="center" wrapText="1"/>
    </xf>
    <xf numFmtId="0" fontId="65" fillId="0" borderId="198" xfId="0" applyFont="1" applyBorder="1" applyAlignment="1">
      <alignment horizontal="center" vertical="center" wrapText="1"/>
    </xf>
    <xf numFmtId="0" fontId="65" fillId="0" borderId="199" xfId="0" applyFont="1" applyBorder="1" applyAlignment="1">
      <alignment horizontal="center" vertical="center" wrapText="1"/>
    </xf>
    <xf numFmtId="0" fontId="65" fillId="0" borderId="167" xfId="0" applyFont="1" applyBorder="1" applyAlignment="1">
      <alignment horizontal="center" vertical="center" wrapText="1"/>
    </xf>
    <xf numFmtId="0" fontId="65" fillId="0" borderId="212" xfId="0" applyFont="1" applyBorder="1" applyAlignment="1">
      <alignment horizontal="center" vertical="center" wrapText="1"/>
    </xf>
    <xf numFmtId="0" fontId="65" fillId="0" borderId="155" xfId="0" applyFont="1" applyBorder="1" applyAlignment="1">
      <alignment horizontal="center" vertical="center" wrapText="1"/>
    </xf>
    <xf numFmtId="0" fontId="65" fillId="0" borderId="221" xfId="0" applyFont="1" applyBorder="1" applyAlignment="1">
      <alignment horizontal="center" vertical="center" wrapText="1"/>
    </xf>
    <xf numFmtId="0" fontId="77" fillId="0" borderId="120" xfId="0" applyFont="1" applyBorder="1" applyAlignment="1">
      <alignment horizontal="center" vertical="center" wrapText="1"/>
    </xf>
    <xf numFmtId="0" fontId="77" fillId="0" borderId="117" xfId="0" applyFont="1" applyBorder="1" applyAlignment="1">
      <alignment horizontal="center" vertical="center" wrapText="1"/>
    </xf>
    <xf numFmtId="0" fontId="27" fillId="0" borderId="118" xfId="0" applyFont="1" applyBorder="1" applyAlignment="1">
      <alignment horizontal="center" vertical="center" wrapText="1"/>
    </xf>
    <xf numFmtId="0" fontId="27" fillId="0" borderId="113" xfId="0" applyFont="1" applyBorder="1" applyAlignment="1">
      <alignment horizontal="center" vertical="center" wrapText="1"/>
    </xf>
    <xf numFmtId="0" fontId="27" fillId="0" borderId="115" xfId="0" applyFont="1" applyBorder="1" applyAlignment="1">
      <alignment horizontal="center" vertical="center" wrapText="1"/>
    </xf>
    <xf numFmtId="0" fontId="76" fillId="0" borderId="119" xfId="0" applyFont="1" applyBorder="1" applyAlignment="1">
      <alignment horizontal="center" vertical="center"/>
    </xf>
    <xf numFmtId="0" fontId="76" fillId="0" borderId="99" xfId="0" applyFont="1" applyBorder="1" applyAlignment="1">
      <alignment horizontal="center" vertical="center"/>
    </xf>
    <xf numFmtId="0" fontId="76" fillId="0" borderId="116" xfId="0" applyFont="1" applyBorder="1" applyAlignment="1">
      <alignment horizontal="center" vertical="center"/>
    </xf>
    <xf numFmtId="0" fontId="27" fillId="0" borderId="110" xfId="0" applyFont="1" applyBorder="1" applyAlignment="1">
      <alignment horizontal="center" vertical="center" wrapText="1"/>
    </xf>
    <xf numFmtId="0" fontId="27" fillId="0" borderId="127" xfId="0" applyFont="1" applyBorder="1" applyAlignment="1">
      <alignment horizontal="center" vertical="center" wrapText="1"/>
    </xf>
    <xf numFmtId="0" fontId="65" fillId="0" borderId="119" xfId="0" applyFont="1" applyBorder="1" applyAlignment="1">
      <alignment horizontal="center" vertical="center" wrapText="1"/>
    </xf>
    <xf numFmtId="0" fontId="65" fillId="0" borderId="99" xfId="0" applyFont="1" applyBorder="1" applyAlignment="1">
      <alignment horizontal="center" vertical="center" wrapText="1"/>
    </xf>
    <xf numFmtId="0" fontId="65" fillId="0" borderId="101" xfId="0" applyFont="1" applyBorder="1" applyAlignment="1">
      <alignment horizontal="center" vertical="center" wrapText="1"/>
    </xf>
    <xf numFmtId="0" fontId="27" fillId="0" borderId="223" xfId="0" applyFont="1" applyBorder="1" applyAlignment="1">
      <alignment horizontal="center" vertical="center" wrapText="1"/>
    </xf>
    <xf numFmtId="0" fontId="27" fillId="0" borderId="225" xfId="0" applyFont="1" applyBorder="1" applyAlignment="1">
      <alignment horizontal="center" vertical="center" wrapText="1"/>
    </xf>
    <xf numFmtId="0" fontId="27" fillId="0" borderId="227" xfId="0" applyFont="1" applyBorder="1" applyAlignment="1">
      <alignment horizontal="center" vertical="center" wrapText="1"/>
    </xf>
    <xf numFmtId="0" fontId="27" fillId="0" borderId="224" xfId="0" applyFont="1" applyBorder="1" applyAlignment="1">
      <alignment horizontal="center" vertical="center" wrapText="1"/>
    </xf>
    <xf numFmtId="0" fontId="27" fillId="0" borderId="226" xfId="0" applyFont="1" applyBorder="1" applyAlignment="1">
      <alignment horizontal="center" vertical="center" wrapText="1"/>
    </xf>
    <xf numFmtId="0" fontId="27" fillId="0" borderId="228" xfId="0" applyFont="1" applyBorder="1" applyAlignment="1">
      <alignment horizontal="center" vertical="center" wrapText="1"/>
    </xf>
    <xf numFmtId="0" fontId="76" fillId="0" borderId="150" xfId="0" applyFont="1" applyBorder="1" applyAlignment="1">
      <alignment horizontal="center" vertical="center"/>
    </xf>
    <xf numFmtId="0" fontId="76" fillId="0" borderId="157" xfId="0" applyFont="1" applyBorder="1" applyAlignment="1">
      <alignment horizontal="center" vertical="center"/>
    </xf>
    <xf numFmtId="0" fontId="27" fillId="24" borderId="219" xfId="0" applyFont="1" applyFill="1" applyBorder="1" applyAlignment="1">
      <alignment horizontal="center" vertical="center" wrapText="1"/>
    </xf>
    <xf numFmtId="0" fontId="27" fillId="24" borderId="154" xfId="0" applyFont="1" applyFill="1" applyBorder="1" applyAlignment="1">
      <alignment horizontal="center" vertical="center" wrapText="1"/>
    </xf>
    <xf numFmtId="0" fontId="27" fillId="24" borderId="156" xfId="0" applyFont="1" applyFill="1" applyBorder="1" applyAlignment="1">
      <alignment horizontal="center" vertical="center" wrapText="1"/>
    </xf>
    <xf numFmtId="0" fontId="27" fillId="0" borderId="198" xfId="0" applyFont="1" applyBorder="1" applyAlignment="1">
      <alignment horizontal="center" vertical="center" wrapText="1"/>
    </xf>
    <xf numFmtId="0" fontId="27" fillId="0" borderId="199" xfId="0" applyFont="1" applyBorder="1" applyAlignment="1">
      <alignment horizontal="center" vertical="center" wrapText="1"/>
    </xf>
    <xf numFmtId="0" fontId="27" fillId="0" borderId="167" xfId="0" applyFont="1" applyBorder="1" applyAlignment="1">
      <alignment horizontal="center" vertical="center" wrapText="1"/>
    </xf>
    <xf numFmtId="0" fontId="27" fillId="0" borderId="160" xfId="0" applyFont="1" applyBorder="1" applyAlignment="1">
      <alignment horizontal="center" vertical="center" wrapText="1"/>
    </xf>
    <xf numFmtId="0" fontId="27" fillId="0" borderId="219" xfId="0" applyFont="1" applyBorder="1" applyAlignment="1">
      <alignment horizontal="center" vertical="center" wrapText="1"/>
    </xf>
    <xf numFmtId="0" fontId="27" fillId="0" borderId="220" xfId="0" applyFont="1" applyBorder="1" applyAlignment="1">
      <alignment horizontal="center" vertical="center" wrapText="1"/>
    </xf>
    <xf numFmtId="0" fontId="27" fillId="0" borderId="202" xfId="0" applyFont="1" applyBorder="1" applyAlignment="1">
      <alignment horizontal="center" vertical="center" wrapText="1"/>
    </xf>
    <xf numFmtId="0" fontId="27" fillId="0" borderId="200" xfId="0" applyFont="1" applyBorder="1" applyAlignment="1">
      <alignment horizontal="center" vertical="center" wrapText="1"/>
    </xf>
    <xf numFmtId="0" fontId="27" fillId="0" borderId="201" xfId="0" applyFont="1" applyBorder="1" applyAlignment="1">
      <alignment horizontal="center" vertical="center" wrapText="1"/>
    </xf>
    <xf numFmtId="0" fontId="27" fillId="0" borderId="210" xfId="0" applyFont="1" applyBorder="1" applyAlignment="1">
      <alignment horizontal="center" vertical="center" wrapText="1"/>
    </xf>
    <xf numFmtId="0" fontId="27" fillId="0" borderId="150" xfId="0" applyFont="1" applyBorder="1" applyAlignment="1">
      <alignment horizontal="center" vertical="center"/>
    </xf>
    <xf numFmtId="0" fontId="27" fillId="0" borderId="99" xfId="0" applyFont="1" applyBorder="1" applyAlignment="1">
      <alignment horizontal="center" vertical="center"/>
    </xf>
    <xf numFmtId="0" fontId="27" fillId="0" borderId="157" xfId="0" applyFont="1" applyBorder="1" applyAlignment="1">
      <alignment horizontal="center" vertical="center"/>
    </xf>
    <xf numFmtId="0" fontId="27" fillId="0" borderId="206" xfId="0" applyFont="1" applyBorder="1" applyAlignment="1">
      <alignment horizontal="center" vertical="center" wrapText="1"/>
    </xf>
    <xf numFmtId="0" fontId="27" fillId="0" borderId="168" xfId="0" applyFont="1" applyBorder="1" applyAlignment="1">
      <alignment horizontal="center" vertical="center" wrapText="1"/>
    </xf>
    <xf numFmtId="0" fontId="27" fillId="0" borderId="167" xfId="0" applyFont="1" applyBorder="1" applyAlignment="1">
      <alignment horizontal="center" vertical="center"/>
    </xf>
    <xf numFmtId="0" fontId="65" fillId="0" borderId="150" xfId="0" applyFont="1" applyBorder="1" applyAlignment="1">
      <alignment horizontal="center" vertical="center"/>
    </xf>
    <xf numFmtId="0" fontId="65" fillId="0" borderId="99" xfId="0" applyFont="1" applyBorder="1" applyAlignment="1">
      <alignment horizontal="center" vertical="center"/>
    </xf>
    <xf numFmtId="0" fontId="65" fillId="0" borderId="101" xfId="0" applyFont="1" applyBorder="1" applyAlignment="1">
      <alignment horizontal="center" vertical="center"/>
    </xf>
    <xf numFmtId="0" fontId="65" fillId="0" borderId="157" xfId="0" applyFont="1" applyBorder="1" applyAlignment="1">
      <alignment horizontal="center" vertical="center"/>
    </xf>
    <xf numFmtId="0" fontId="27" fillId="0" borderId="119" xfId="0" applyFont="1" applyBorder="1" applyAlignment="1">
      <alignment horizontal="center" vertical="center"/>
    </xf>
    <xf numFmtId="0" fontId="27" fillId="0" borderId="116" xfId="0" applyFont="1" applyBorder="1" applyAlignment="1">
      <alignment horizontal="center" vertical="center"/>
    </xf>
    <xf numFmtId="0" fontId="27" fillId="0" borderId="111" xfId="0" applyFont="1" applyBorder="1" applyAlignment="1">
      <alignment horizontal="center" vertical="center"/>
    </xf>
    <xf numFmtId="0" fontId="27" fillId="0" borderId="1" xfId="0" applyFont="1" applyBorder="1" applyAlignment="1">
      <alignment horizontal="center" vertical="center"/>
    </xf>
    <xf numFmtId="0" fontId="27" fillId="0" borderId="2" xfId="0" applyFont="1" applyBorder="1" applyAlignment="1">
      <alignment horizontal="center" vertical="center"/>
    </xf>
    <xf numFmtId="0" fontId="27" fillId="0" borderId="31" xfId="0" applyFont="1" applyBorder="1" applyAlignment="1">
      <alignment horizontal="center" vertical="center"/>
    </xf>
    <xf numFmtId="0" fontId="27" fillId="0" borderId="197" xfId="0" applyFont="1" applyBorder="1" applyAlignment="1">
      <alignment horizontal="center" vertical="center" wrapText="1"/>
    </xf>
    <xf numFmtId="0" fontId="27" fillId="0" borderId="190" xfId="0" applyFont="1" applyBorder="1" applyAlignment="1">
      <alignment horizontal="center" vertical="center" wrapText="1"/>
    </xf>
    <xf numFmtId="0" fontId="27" fillId="0" borderId="196" xfId="0" applyFont="1" applyBorder="1" applyAlignment="1">
      <alignment horizontal="center" vertical="center" wrapText="1"/>
    </xf>
    <xf numFmtId="0" fontId="27" fillId="0" borderId="172" xfId="0" applyFont="1" applyBorder="1" applyAlignment="1">
      <alignment horizontal="center" vertical="center" wrapText="1"/>
    </xf>
    <xf numFmtId="0" fontId="27" fillId="0" borderId="173" xfId="0" applyFont="1" applyBorder="1" applyAlignment="1">
      <alignment horizontal="center" vertical="center" wrapText="1"/>
    </xf>
    <xf numFmtId="0" fontId="27" fillId="0" borderId="174" xfId="0" applyFont="1" applyBorder="1" applyAlignment="1">
      <alignment horizontal="center" vertical="center" wrapText="1"/>
    </xf>
    <xf numFmtId="0" fontId="27" fillId="0" borderId="191" xfId="0" applyFont="1" applyBorder="1" applyAlignment="1">
      <alignment horizontal="center" vertical="center" wrapText="1"/>
    </xf>
    <xf numFmtId="0" fontId="27" fillId="0" borderId="197" xfId="0" applyFont="1" applyBorder="1" applyAlignment="1">
      <alignment horizontal="center" vertical="center"/>
    </xf>
    <xf numFmtId="0" fontId="27" fillId="0" borderId="190" xfId="0" applyFont="1" applyBorder="1" applyAlignment="1">
      <alignment horizontal="center" vertical="center"/>
    </xf>
    <xf numFmtId="0" fontId="27" fillId="0" borderId="196" xfId="0" applyFont="1" applyBorder="1" applyAlignment="1">
      <alignment horizontal="center" vertical="center"/>
    </xf>
    <xf numFmtId="0" fontId="27" fillId="0" borderId="18" xfId="0" applyFont="1" applyBorder="1" applyAlignment="1">
      <alignment horizontal="center" vertical="center"/>
    </xf>
    <xf numFmtId="0" fontId="27" fillId="0" borderId="189" xfId="0" applyFont="1" applyBorder="1" applyAlignment="1">
      <alignment horizontal="center" vertical="center"/>
    </xf>
    <xf numFmtId="0" fontId="27" fillId="0" borderId="194" xfId="0" applyFont="1" applyBorder="1" applyAlignment="1">
      <alignment horizontal="center" vertical="center"/>
    </xf>
    <xf numFmtId="0" fontId="69" fillId="0" borderId="193" xfId="0" applyFont="1" applyBorder="1" applyAlignment="1">
      <alignment horizontal="center" vertical="center" wrapText="1"/>
    </xf>
    <xf numFmtId="0" fontId="69" fillId="0" borderId="195" xfId="0" applyFont="1" applyBorder="1" applyAlignment="1">
      <alignment horizontal="center" vertical="center" wrapText="1"/>
    </xf>
    <xf numFmtId="0" fontId="27" fillId="0" borderId="189" xfId="0" applyFont="1" applyBorder="1" applyAlignment="1">
      <alignment horizontal="center" vertical="center" wrapText="1"/>
    </xf>
    <xf numFmtId="0" fontId="27" fillId="0" borderId="192" xfId="0" applyFont="1" applyBorder="1" applyAlignment="1">
      <alignment horizontal="center" vertical="center" wrapText="1"/>
    </xf>
    <xf numFmtId="0" fontId="27" fillId="0" borderId="193" xfId="0" applyFont="1" applyBorder="1" applyAlignment="1">
      <alignment horizontal="center" vertical="center" wrapText="1"/>
    </xf>
    <xf numFmtId="0" fontId="27" fillId="0" borderId="195" xfId="0" applyFont="1" applyBorder="1" applyAlignment="1">
      <alignment horizontal="center" vertical="center" wrapText="1"/>
    </xf>
    <xf numFmtId="0" fontId="65" fillId="0" borderId="111" xfId="0" applyFont="1" applyBorder="1" applyAlignment="1">
      <alignment horizontal="center" vertical="center"/>
    </xf>
    <xf numFmtId="0" fontId="27" fillId="0" borderId="112" xfId="0" applyFont="1" applyBorder="1" applyAlignment="1">
      <alignment horizontal="center" vertical="center" wrapText="1"/>
    </xf>
    <xf numFmtId="0" fontId="27" fillId="0" borderId="114" xfId="0" applyFont="1" applyBorder="1" applyAlignment="1">
      <alignment horizontal="center" vertical="center" wrapText="1"/>
    </xf>
    <xf numFmtId="0" fontId="27" fillId="0" borderId="124" xfId="0" applyFont="1" applyBorder="1" applyAlignment="1">
      <alignment horizontal="center" vertical="center" wrapText="1"/>
    </xf>
    <xf numFmtId="0" fontId="65" fillId="0" borderId="119" xfId="0" applyFont="1" applyBorder="1" applyAlignment="1">
      <alignment horizontal="center" vertical="center"/>
    </xf>
    <xf numFmtId="3" fontId="27" fillId="0" borderId="111" xfId="0" applyNumberFormat="1" applyFont="1" applyBorder="1" applyAlignment="1">
      <alignment horizontal="center" vertical="center"/>
    </xf>
    <xf numFmtId="0" fontId="27" fillId="0" borderId="101" xfId="0" applyFont="1" applyBorder="1" applyAlignment="1">
      <alignment horizontal="center" vertical="center"/>
    </xf>
    <xf numFmtId="0" fontId="65" fillId="0" borderId="116" xfId="0" applyFont="1" applyBorder="1" applyAlignment="1">
      <alignment horizontal="center" vertical="center"/>
    </xf>
    <xf numFmtId="0" fontId="16" fillId="12" borderId="21" xfId="0" applyFont="1" applyFill="1" applyBorder="1" applyAlignment="1">
      <alignment horizontal="center" vertical="center" wrapText="1"/>
    </xf>
    <xf numFmtId="3" fontId="27" fillId="0" borderId="119" xfId="0" applyNumberFormat="1" applyFont="1" applyBorder="1" applyAlignment="1">
      <alignment horizontal="center" vertical="center" wrapText="1"/>
    </xf>
    <xf numFmtId="3" fontId="27" fillId="0" borderId="111" xfId="0" applyNumberFormat="1" applyFont="1" applyBorder="1" applyAlignment="1">
      <alignment horizontal="center" vertical="center" wrapText="1"/>
    </xf>
    <xf numFmtId="0" fontId="11" fillId="10" borderId="100" xfId="0" applyFont="1" applyFill="1" applyBorder="1" applyAlignment="1">
      <alignment horizontal="center" vertical="center"/>
    </xf>
    <xf numFmtId="0" fontId="11" fillId="10" borderId="0" xfId="0" applyFont="1" applyFill="1" applyAlignment="1">
      <alignment horizontal="center" vertical="center"/>
    </xf>
    <xf numFmtId="0" fontId="11" fillId="10" borderId="107" xfId="0" applyFont="1" applyFill="1" applyBorder="1" applyAlignment="1">
      <alignment horizontal="center" vertical="center"/>
    </xf>
    <xf numFmtId="0" fontId="27" fillId="0" borderId="117" xfId="0" applyFont="1" applyBorder="1" applyAlignment="1">
      <alignment horizontal="center" vertical="center" wrapText="1"/>
    </xf>
    <xf numFmtId="0" fontId="27" fillId="24" borderId="110" xfId="0" applyFont="1" applyFill="1" applyBorder="1" applyAlignment="1">
      <alignment horizontal="center" vertical="center" wrapText="1"/>
    </xf>
    <xf numFmtId="0" fontId="27" fillId="24" borderId="113" xfId="0" applyFont="1" applyFill="1" applyBorder="1" applyAlignment="1">
      <alignment horizontal="center" vertical="center" wrapText="1"/>
    </xf>
    <xf numFmtId="0" fontId="27" fillId="24" borderId="115" xfId="0" applyFont="1" applyFill="1" applyBorder="1" applyAlignment="1">
      <alignment horizontal="center" vertical="center" wrapText="1"/>
    </xf>
    <xf numFmtId="0" fontId="11" fillId="10" borderId="2" xfId="0" applyFont="1" applyFill="1" applyBorder="1" applyAlignment="1">
      <alignment horizontal="center" vertical="center"/>
    </xf>
    <xf numFmtId="0" fontId="11" fillId="10" borderId="12" xfId="0" applyFont="1" applyFill="1" applyBorder="1" applyAlignment="1">
      <alignment horizontal="center" vertical="center"/>
    </xf>
    <xf numFmtId="0" fontId="69" fillId="0" borderId="112" xfId="0" applyFont="1" applyBorder="1" applyAlignment="1">
      <alignment horizontal="center" vertical="center" wrapText="1"/>
    </xf>
    <xf numFmtId="0" fontId="69" fillId="0" borderId="114" xfId="0" applyFont="1" applyBorder="1" applyAlignment="1">
      <alignment horizontal="center" vertical="center" wrapText="1"/>
    </xf>
    <xf numFmtId="0" fontId="69" fillId="0" borderId="117" xfId="0" applyFont="1" applyBorder="1" applyAlignment="1">
      <alignment horizontal="center" vertical="center" wrapText="1"/>
    </xf>
    <xf numFmtId="0" fontId="27" fillId="0" borderId="17" xfId="0" applyFont="1" applyBorder="1" applyAlignment="1">
      <alignment horizontal="center" vertical="center"/>
    </xf>
    <xf numFmtId="0" fontId="11" fillId="10" borderId="125" xfId="0" applyFont="1" applyFill="1" applyBorder="1" applyAlignment="1">
      <alignment horizontal="center" vertical="center"/>
    </xf>
    <xf numFmtId="0" fontId="11" fillId="10" borderId="126" xfId="0" applyFont="1" applyFill="1" applyBorder="1" applyAlignment="1">
      <alignment horizontal="center" vertical="center"/>
    </xf>
    <xf numFmtId="0" fontId="11" fillId="10" borderId="128" xfId="0" applyFont="1" applyFill="1" applyBorder="1" applyAlignment="1">
      <alignment horizontal="center" vertical="center"/>
    </xf>
    <xf numFmtId="0" fontId="27" fillId="0" borderId="231" xfId="0" applyFont="1" applyBorder="1" applyAlignment="1">
      <alignment horizontal="center" vertical="center" wrapText="1"/>
    </xf>
    <xf numFmtId="0" fontId="27" fillId="0" borderId="162" xfId="0" applyFont="1" applyBorder="1" applyAlignment="1">
      <alignment horizontal="center" vertical="center" wrapText="1"/>
    </xf>
    <xf numFmtId="0" fontId="27" fillId="0" borderId="133" xfId="0" applyFont="1" applyBorder="1" applyAlignment="1">
      <alignment horizontal="center" vertical="center"/>
    </xf>
    <xf numFmtId="0" fontId="27" fillId="0" borderId="134" xfId="0" applyFont="1" applyBorder="1" applyAlignment="1">
      <alignment horizontal="center" vertical="center"/>
    </xf>
    <xf numFmtId="0" fontId="27" fillId="0" borderId="42" xfId="0" applyFont="1" applyBorder="1" applyAlignment="1">
      <alignment horizontal="center" vertical="center"/>
    </xf>
    <xf numFmtId="0" fontId="27" fillId="0" borderId="45" xfId="0" applyFont="1" applyBorder="1" applyAlignment="1">
      <alignment horizontal="center" vertical="center"/>
    </xf>
    <xf numFmtId="0" fontId="27" fillId="0" borderId="47" xfId="0" applyFont="1" applyBorder="1" applyAlignment="1">
      <alignment horizontal="center" vertical="center"/>
    </xf>
    <xf numFmtId="0" fontId="27" fillId="0" borderId="44" xfId="0" applyFont="1" applyBorder="1" applyAlignment="1">
      <alignment horizontal="center" vertical="center" wrapText="1"/>
    </xf>
    <xf numFmtId="0" fontId="27" fillId="0" borderId="46" xfId="0" applyFont="1" applyBorder="1" applyAlignment="1">
      <alignment horizontal="center" vertical="center" wrapText="1"/>
    </xf>
    <xf numFmtId="0" fontId="27" fillId="0" borderId="48" xfId="0" applyFont="1" applyBorder="1" applyAlignment="1">
      <alignment horizontal="center" vertical="center" wrapText="1"/>
    </xf>
    <xf numFmtId="0" fontId="27" fillId="0" borderId="49" xfId="0" applyFont="1" applyBorder="1" applyAlignment="1">
      <alignment horizontal="center" vertical="center" wrapText="1"/>
    </xf>
    <xf numFmtId="0" fontId="27" fillId="0" borderId="45" xfId="0" applyFont="1" applyBorder="1" applyAlignment="1">
      <alignment horizontal="center" vertical="center" wrapText="1"/>
    </xf>
    <xf numFmtId="0" fontId="27" fillId="0" borderId="51" xfId="0" applyFont="1" applyBorder="1" applyAlignment="1">
      <alignment horizontal="center" vertical="center" wrapText="1"/>
    </xf>
    <xf numFmtId="0" fontId="27" fillId="0" borderId="37" xfId="0" applyFont="1" applyBorder="1" applyAlignment="1">
      <alignment horizontal="center" vertical="center" wrapText="1"/>
    </xf>
    <xf numFmtId="0" fontId="27" fillId="0" borderId="35" xfId="0" applyFont="1" applyBorder="1" applyAlignment="1">
      <alignment horizontal="center" vertical="center" wrapText="1"/>
    </xf>
    <xf numFmtId="0" fontId="27" fillId="0" borderId="52" xfId="0" applyFont="1" applyBorder="1" applyAlignment="1">
      <alignment horizontal="center" vertical="center" wrapText="1"/>
    </xf>
    <xf numFmtId="0" fontId="27" fillId="0" borderId="50" xfId="0" applyFont="1" applyBorder="1" applyAlignment="1">
      <alignment horizontal="center" vertical="center" wrapText="1"/>
    </xf>
    <xf numFmtId="0" fontId="27" fillId="0" borderId="53" xfId="0" applyFont="1" applyBorder="1" applyAlignment="1">
      <alignment horizontal="center" vertical="center" wrapText="1"/>
    </xf>
    <xf numFmtId="0" fontId="77" fillId="0" borderId="161" xfId="0" applyFont="1" applyBorder="1" applyAlignment="1">
      <alignment horizontal="center" vertical="center" wrapText="1"/>
    </xf>
    <xf numFmtId="0" fontId="77" fillId="0" borderId="102" xfId="0" applyFont="1" applyBorder="1" applyAlignment="1">
      <alignment horizontal="center" vertical="center" wrapText="1"/>
    </xf>
    <xf numFmtId="0" fontId="77" fillId="0" borderId="162" xfId="0" applyFont="1" applyBorder="1" applyAlignment="1">
      <alignment horizontal="center" vertical="center" wrapText="1"/>
    </xf>
    <xf numFmtId="0" fontId="65" fillId="0" borderId="116" xfId="0" applyFont="1" applyBorder="1" applyAlignment="1">
      <alignment horizontal="center" vertical="center" wrapText="1"/>
    </xf>
    <xf numFmtId="0" fontId="77" fillId="0" borderId="125" xfId="0" applyFont="1" applyBorder="1" applyAlignment="1">
      <alignment horizontal="center" vertical="center" wrapText="1"/>
    </xf>
    <xf numFmtId="0" fontId="77" fillId="0" borderId="100" xfId="0" applyFont="1" applyBorder="1" applyAlignment="1">
      <alignment horizontal="center" vertical="center" wrapText="1"/>
    </xf>
    <xf numFmtId="0" fontId="77" fillId="0" borderId="232" xfId="0" applyFont="1" applyBorder="1" applyAlignment="1">
      <alignment horizontal="center" vertical="center" wrapText="1"/>
    </xf>
    <xf numFmtId="0" fontId="27" fillId="0" borderId="120" xfId="0" applyFont="1" applyBorder="1" applyAlignment="1">
      <alignment horizontal="center" vertical="center" wrapText="1"/>
    </xf>
    <xf numFmtId="0" fontId="69" fillId="0" borderId="120" xfId="0" applyFont="1" applyBorder="1" applyAlignment="1">
      <alignment horizontal="center" vertical="center" wrapText="1"/>
    </xf>
    <xf numFmtId="0" fontId="69" fillId="0" borderId="124" xfId="0" applyFont="1" applyBorder="1" applyAlignment="1">
      <alignment horizontal="center" vertical="center" wrapText="1"/>
    </xf>
    <xf numFmtId="0" fontId="22" fillId="10" borderId="0" xfId="0" applyFont="1" applyFill="1" applyAlignment="1">
      <alignment horizontal="center" vertical="center" wrapText="1"/>
    </xf>
    <xf numFmtId="0" fontId="22" fillId="10" borderId="107" xfId="0" applyFont="1" applyFill="1" applyBorder="1" applyAlignment="1">
      <alignment horizontal="center" vertical="center" wrapText="1"/>
    </xf>
    <xf numFmtId="0" fontId="27" fillId="0" borderId="161" xfId="0" applyFont="1" applyBorder="1" applyAlignment="1">
      <alignment horizontal="center" vertical="center" wrapText="1"/>
    </xf>
    <xf numFmtId="0" fontId="76" fillId="0" borderId="111" xfId="0" applyFont="1" applyBorder="1" applyAlignment="1">
      <alignment horizontal="center" vertical="center"/>
    </xf>
    <xf numFmtId="0" fontId="65" fillId="0" borderId="161" xfId="0" applyFont="1" applyBorder="1" applyAlignment="1">
      <alignment horizontal="center" vertical="center" wrapText="1"/>
    </xf>
    <xf numFmtId="0" fontId="65" fillId="0" borderId="102" xfId="0" applyFont="1" applyBorder="1" applyAlignment="1">
      <alignment horizontal="center" vertical="center" wrapText="1"/>
    </xf>
    <xf numFmtId="0" fontId="65" fillId="0" borderId="162" xfId="0" applyFont="1" applyBorder="1" applyAlignment="1">
      <alignment horizontal="center" vertical="center" wrapText="1"/>
    </xf>
    <xf numFmtId="0" fontId="22" fillId="10" borderId="2" xfId="0" applyFont="1" applyFill="1" applyBorder="1" applyAlignment="1">
      <alignment horizontal="center" vertical="center" wrapText="1"/>
    </xf>
    <xf numFmtId="0" fontId="27" fillId="0" borderId="151" xfId="0" applyFont="1" applyBorder="1" applyAlignment="1">
      <alignment horizontal="center" vertical="center" wrapText="1"/>
    </xf>
    <xf numFmtId="0" fontId="27" fillId="0" borderId="158" xfId="0" applyFont="1" applyBorder="1" applyAlignment="1">
      <alignment horizontal="center" vertical="center" wrapText="1"/>
    </xf>
    <xf numFmtId="0" fontId="27" fillId="0" borderId="42" xfId="0" applyFont="1" applyBorder="1" applyAlignment="1">
      <alignment horizontal="center" vertical="center" wrapText="1"/>
    </xf>
    <xf numFmtId="0" fontId="27" fillId="0" borderId="43" xfId="0" applyFont="1" applyBorder="1" applyAlignment="1">
      <alignment horizontal="center" vertical="center" wrapText="1"/>
    </xf>
    <xf numFmtId="0" fontId="27" fillId="0" borderId="36" xfId="0" applyFont="1" applyBorder="1" applyAlignment="1">
      <alignment horizontal="center" vertical="center" wrapText="1"/>
    </xf>
    <xf numFmtId="0" fontId="27" fillId="0" borderId="47" xfId="0" applyFont="1" applyBorder="1" applyAlignment="1">
      <alignment horizontal="center" vertical="center" wrapText="1"/>
    </xf>
    <xf numFmtId="0" fontId="27" fillId="0" borderId="89" xfId="0" applyFont="1" applyBorder="1" applyAlignment="1">
      <alignment horizontal="center" vertical="center" wrapText="1"/>
    </xf>
    <xf numFmtId="0" fontId="27" fillId="0" borderId="90" xfId="0" applyFont="1" applyBorder="1" applyAlignment="1">
      <alignment horizontal="center" vertical="center" wrapText="1"/>
    </xf>
    <xf numFmtId="0" fontId="27" fillId="0" borderId="240" xfId="0" applyFont="1" applyBorder="1" applyAlignment="1">
      <alignment horizontal="center" vertical="center" wrapText="1"/>
    </xf>
    <xf numFmtId="0" fontId="27" fillId="0" borderId="241" xfId="0" applyFont="1" applyBorder="1" applyAlignment="1">
      <alignment horizontal="center" vertical="center" wrapText="1"/>
    </xf>
    <xf numFmtId="0" fontId="27" fillId="0" borderId="242" xfId="0" applyFont="1" applyBorder="1" applyAlignment="1">
      <alignment horizontal="center" vertical="center" wrapText="1"/>
    </xf>
    <xf numFmtId="0" fontId="77" fillId="0" borderId="238" xfId="0" applyFont="1" applyBorder="1" applyAlignment="1">
      <alignment horizontal="center" vertical="center" wrapText="1"/>
    </xf>
    <xf numFmtId="0" fontId="77" fillId="0" borderId="239" xfId="0" applyFont="1" applyBorder="1" applyAlignment="1">
      <alignment horizontal="center" vertical="center" wrapText="1"/>
    </xf>
    <xf numFmtId="0" fontId="28" fillId="0" borderId="2" xfId="0" applyFont="1" applyBorder="1" applyAlignment="1">
      <alignment horizontal="center" vertical="center"/>
    </xf>
    <xf numFmtId="0" fontId="54" fillId="19" borderId="2" xfId="0" applyFont="1" applyFill="1" applyBorder="1" applyAlignment="1">
      <alignment horizontal="center" vertical="center"/>
    </xf>
    <xf numFmtId="0" fontId="9" fillId="0" borderId="12" xfId="0" applyFont="1" applyBorder="1" applyAlignment="1">
      <alignment horizontal="center" vertical="center"/>
    </xf>
    <xf numFmtId="0" fontId="9" fillId="0" borderId="16" xfId="0" applyFont="1" applyBorder="1" applyAlignment="1">
      <alignment horizontal="center" vertical="center"/>
    </xf>
    <xf numFmtId="0" fontId="9" fillId="0" borderId="18" xfId="0" applyFont="1" applyBorder="1" applyAlignment="1">
      <alignment horizontal="center" vertical="center"/>
    </xf>
    <xf numFmtId="9" fontId="9" fillId="0" borderId="33" xfId="2" applyFont="1" applyFill="1" applyBorder="1" applyAlignment="1">
      <alignment horizontal="center" vertical="center"/>
    </xf>
    <xf numFmtId="9" fontId="9" fillId="0" borderId="23" xfId="2" applyFont="1" applyFill="1" applyBorder="1" applyAlignment="1">
      <alignment horizontal="center" vertical="center"/>
    </xf>
    <xf numFmtId="9" fontId="9" fillId="0" borderId="24" xfId="2" applyFont="1" applyFill="1" applyBorder="1" applyAlignment="1">
      <alignment horizontal="center" vertical="center"/>
    </xf>
    <xf numFmtId="0" fontId="9" fillId="0" borderId="35" xfId="0" applyFont="1" applyBorder="1" applyAlignment="1">
      <alignment horizontal="center" vertical="center"/>
    </xf>
    <xf numFmtId="0" fontId="29" fillId="10" borderId="35" xfId="0" applyFont="1" applyFill="1" applyBorder="1" applyAlignment="1">
      <alignment horizontal="center" vertical="center"/>
    </xf>
    <xf numFmtId="0" fontId="29" fillId="10" borderId="2" xfId="0" applyFont="1" applyFill="1" applyBorder="1" applyAlignment="1">
      <alignment horizontal="center" vertical="center"/>
    </xf>
    <xf numFmtId="0" fontId="4" fillId="0" borderId="2" xfId="0" applyFont="1" applyBorder="1" applyAlignment="1">
      <alignment horizontal="center"/>
    </xf>
    <xf numFmtId="0" fontId="83" fillId="0" borderId="0" xfId="0" applyFont="1" applyAlignment="1">
      <alignment horizontal="center" vertical="center" wrapText="1"/>
    </xf>
    <xf numFmtId="0" fontId="13" fillId="0" borderId="3" xfId="0" applyFont="1" applyBorder="1" applyAlignment="1">
      <alignment horizontal="center"/>
    </xf>
    <xf numFmtId="0" fontId="13" fillId="0" borderId="10" xfId="0" applyFont="1" applyBorder="1" applyAlignment="1">
      <alignment horizontal="center"/>
    </xf>
    <xf numFmtId="0" fontId="13" fillId="0" borderId="11" xfId="0" applyFont="1" applyBorder="1" applyAlignment="1">
      <alignment horizontal="center"/>
    </xf>
    <xf numFmtId="0" fontId="1" fillId="0" borderId="3" xfId="0" applyFont="1" applyBorder="1" applyAlignment="1">
      <alignment horizontal="center"/>
    </xf>
    <xf numFmtId="0" fontId="1" fillId="0" borderId="10" xfId="0" applyFont="1" applyBorder="1" applyAlignment="1">
      <alignment horizontal="center"/>
    </xf>
    <xf numFmtId="0" fontId="13" fillId="0" borderId="2" xfId="0" applyFont="1" applyBorder="1" applyAlignment="1">
      <alignment horizontal="center"/>
    </xf>
    <xf numFmtId="0" fontId="1" fillId="0" borderId="13" xfId="0" applyFont="1" applyBorder="1" applyAlignment="1">
      <alignment horizontal="center" vertical="center" wrapText="1"/>
    </xf>
    <xf numFmtId="0" fontId="1" fillId="0" borderId="14" xfId="0" applyFont="1" applyBorder="1" applyAlignment="1">
      <alignment horizontal="center" vertical="center" wrapText="1"/>
    </xf>
    <xf numFmtId="0" fontId="1" fillId="0" borderId="15" xfId="0" applyFont="1" applyBorder="1" applyAlignment="1">
      <alignment horizontal="center" vertical="center" wrapText="1"/>
    </xf>
  </cellXfs>
  <cellStyles count="13">
    <cellStyle name="Comma" xfId="6" builtinId="3"/>
    <cellStyle name="Hyperlink" xfId="5" builtinId="8"/>
    <cellStyle name="Hyperlink 2" xfId="10" xr:uid="{10C1E3C0-F46B-4E25-BD9A-EE5D62F88FF2}"/>
    <cellStyle name="Normal" xfId="0" builtinId="0"/>
    <cellStyle name="Normal 2" xfId="3" xr:uid="{E38C2638-0821-4BB2-9C33-A89D3950ADA6}"/>
    <cellStyle name="Normal 2 2" xfId="4" xr:uid="{7604919E-E68F-4366-A693-6A7B8B8DA661}"/>
    <cellStyle name="Normal 2 3" xfId="9" xr:uid="{8A1E39CD-7ABA-4D79-A464-67010D1209C1}"/>
    <cellStyle name="Normal 3" xfId="7" xr:uid="{1C10DAE4-4F9C-4E19-81E4-5574511A6741}"/>
    <cellStyle name="Normal 4" xfId="11" xr:uid="{43272557-B37F-4996-BC18-AA3EDEAFA379}"/>
    <cellStyle name="Normal 5" xfId="12" xr:uid="{642BE191-BE2F-4847-8420-1C59B95E270E}"/>
    <cellStyle name="Normal_Prototype_Scorecard-LgOffice-2008-03-13" xfId="1" xr:uid="{F839F8A1-86E5-4008-9801-0F032E8A3317}"/>
    <cellStyle name="Percent" xfId="2" builtinId="5"/>
    <cellStyle name="Percent 2" xfId="8" xr:uid="{CB789C3E-741F-4464-8065-385A956411E6}"/>
  </cellStyles>
  <dxfs count="8">
    <dxf>
      <fill>
        <patternFill>
          <bgColor theme="9" tint="0.59996337778862885"/>
        </patternFill>
      </fill>
    </dxf>
    <dxf>
      <font>
        <b/>
        <i val="0"/>
      </font>
      <fill>
        <patternFill>
          <bgColor theme="0" tint="-0.14996795556505021"/>
        </patternFill>
      </fill>
      <border>
        <left style="thin">
          <color auto="1"/>
        </left>
        <right style="thin">
          <color auto="1"/>
        </right>
        <top style="thin">
          <color auto="1"/>
        </top>
        <bottom style="thin">
          <color auto="1"/>
        </bottom>
        <vertical/>
        <horizontal style="thin">
          <color auto="1"/>
        </horizontal>
      </border>
    </dxf>
    <dxf>
      <font>
        <b/>
        <i val="0"/>
      </font>
      <fill>
        <patternFill>
          <bgColor theme="0" tint="-0.14996795556505021"/>
        </patternFill>
      </fill>
      <border>
        <left style="thin">
          <color auto="1"/>
        </left>
        <right style="thin">
          <color auto="1"/>
        </right>
        <top style="thin">
          <color auto="1"/>
        </top>
        <bottom style="thin">
          <color auto="1"/>
        </bottom>
        <vertical style="thin">
          <color auto="1"/>
        </vertical>
        <horizontal style="thin">
          <color auto="1"/>
        </horizontal>
      </border>
    </dxf>
    <dxf>
      <font>
        <b/>
        <i val="0"/>
      </font>
    </dxf>
    <dxf>
      <font>
        <b/>
        <i val="0"/>
      </font>
    </dxf>
    <dxf>
      <font>
        <b/>
        <i val="0"/>
      </font>
      <border diagonalDown="1">
        <left style="thin">
          <color auto="1"/>
        </left>
        <right style="thin">
          <color auto="1"/>
        </right>
        <top style="thin">
          <color auto="1"/>
        </top>
        <bottom style="thin">
          <color auto="1"/>
        </bottom>
        <diagonal style="thin">
          <color auto="1"/>
        </diagonal>
        <vertical style="thin">
          <color auto="1"/>
        </vertical>
        <horizontal style="thin">
          <color auto="1"/>
        </horizontal>
      </border>
    </dxf>
    <dxf>
      <font>
        <b/>
        <i val="0"/>
      </font>
      <fill>
        <patternFill>
          <bgColor theme="0" tint="-0.14996795556505021"/>
        </patternFill>
      </fill>
      <border>
        <left style="thin">
          <color auto="1"/>
        </left>
        <right style="thin">
          <color auto="1"/>
        </right>
        <top style="thin">
          <color auto="1"/>
        </top>
        <bottom style="thin">
          <color auto="1"/>
        </bottom>
        <vertical style="thin">
          <color auto="1"/>
        </vertical>
        <horizontal style="thin">
          <color auto="1"/>
        </horizontal>
      </border>
    </dxf>
    <dxf>
      <border>
        <left style="thin">
          <color auto="1"/>
        </left>
        <right style="thin">
          <color auto="1"/>
        </right>
        <top style="thin">
          <color auto="1"/>
        </top>
        <bottom style="thin">
          <color auto="1"/>
        </bottom>
        <vertical style="thin">
          <color auto="1"/>
        </vertical>
        <horizontal/>
      </border>
    </dxf>
  </dxfs>
  <tableStyles count="1" defaultTableStyle="TableStyleMedium2" defaultPivotStyle="PivotStyleLight16">
    <tableStyle name="PivotTable Style_MFA1" table="0" count="7" xr9:uid="{14E84246-083A-4927-8273-A88944943105}">
      <tableStyleElement type="wholeTable" dxfId="7"/>
      <tableStyleElement type="headerRow" dxfId="6"/>
      <tableStyleElement type="totalRow" dxfId="5"/>
      <tableStyleElement type="firstColumn" dxfId="4"/>
      <tableStyleElement type="lastColumn" dxfId="3"/>
      <tableStyleElement type="pageFieldLabels" dxfId="2"/>
      <tableStyleElement type="pageFieldValues" dxfId="1"/>
    </tableStyle>
  </tableStyles>
  <colors>
    <mruColors>
      <color rgb="FF002F8E"/>
      <color rgb="FFCCCCFF"/>
      <color rgb="FF0000CC"/>
      <color rgb="FF8238BA"/>
      <color rgb="FFFFFBEF"/>
      <color rgb="FFF3F3F3"/>
      <color rgb="FFECF0F8"/>
      <color rgb="FFFF9900"/>
      <color rgb="FFFFEBCD"/>
      <color rgb="FF2E9F1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9.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0.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41.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42.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43.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44.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45.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46.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47.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48.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49.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0.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51.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52.xml.rels><?xml version="1.0" encoding="UTF-8" standalone="yes"?>
<Relationships xmlns="http://schemas.openxmlformats.org/package/2006/relationships"><Relationship Id="rId2" Type="http://schemas.microsoft.com/office/2011/relationships/chartColorStyle" Target="colors52.xml"/><Relationship Id="rId1" Type="http://schemas.microsoft.com/office/2011/relationships/chartStyle" Target="style52.xml"/></Relationships>
</file>

<file path=xl/charts/_rels/chart53.xml.rels><?xml version="1.0" encoding="UTF-8" standalone="yes"?>
<Relationships xmlns="http://schemas.openxmlformats.org/package/2006/relationships"><Relationship Id="rId2" Type="http://schemas.microsoft.com/office/2011/relationships/chartColorStyle" Target="colors53.xml"/><Relationship Id="rId1" Type="http://schemas.microsoft.com/office/2011/relationships/chartStyle" Target="style53.xml"/></Relationships>
</file>

<file path=xl/charts/_rels/chart54.xml.rels><?xml version="1.0" encoding="UTF-8" standalone="yes"?>
<Relationships xmlns="http://schemas.openxmlformats.org/package/2006/relationships"><Relationship Id="rId2" Type="http://schemas.microsoft.com/office/2011/relationships/chartColorStyle" Target="colors54.xml"/><Relationship Id="rId1" Type="http://schemas.microsoft.com/office/2011/relationships/chartStyle" Target="style54.xml"/></Relationships>
</file>

<file path=xl/charts/_rels/chart55.xml.rels><?xml version="1.0" encoding="UTF-8" standalone="yes"?>
<Relationships xmlns="http://schemas.openxmlformats.org/package/2006/relationships"><Relationship Id="rId2" Type="http://schemas.microsoft.com/office/2011/relationships/chartColorStyle" Target="colors55.xml"/><Relationship Id="rId1" Type="http://schemas.microsoft.com/office/2011/relationships/chartStyle" Target="style55.xml"/></Relationships>
</file>

<file path=xl/charts/_rels/chart56.xml.rels><?xml version="1.0" encoding="UTF-8" standalone="yes"?>
<Relationships xmlns="http://schemas.openxmlformats.org/package/2006/relationships"><Relationship Id="rId2" Type="http://schemas.microsoft.com/office/2011/relationships/chartColorStyle" Target="colors56.xml"/><Relationship Id="rId1" Type="http://schemas.microsoft.com/office/2011/relationships/chartStyle" Target="style56.xml"/></Relationships>
</file>

<file path=xl/charts/_rels/chart57.xml.rels><?xml version="1.0" encoding="UTF-8" standalone="yes"?>
<Relationships xmlns="http://schemas.openxmlformats.org/package/2006/relationships"><Relationship Id="rId2" Type="http://schemas.microsoft.com/office/2011/relationships/chartColorStyle" Target="colors57.xml"/><Relationship Id="rId1" Type="http://schemas.microsoft.com/office/2011/relationships/chartStyle" Target="style57.xml"/></Relationships>
</file>

<file path=xl/charts/_rels/chart58.xml.rels><?xml version="1.0" encoding="UTF-8" standalone="yes"?>
<Relationships xmlns="http://schemas.openxmlformats.org/package/2006/relationships"><Relationship Id="rId2" Type="http://schemas.microsoft.com/office/2011/relationships/chartColorStyle" Target="colors58.xml"/><Relationship Id="rId1" Type="http://schemas.microsoft.com/office/2011/relationships/chartStyle" Target="style58.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Schedules!$C$29</c:f>
          <c:strCache>
            <c:ptCount val="1"/>
            <c:pt idx="0">
              <c:v>Occupancy</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Schedules!$E$29</c:f>
              <c:strCache>
                <c:ptCount val="1"/>
                <c:pt idx="0">
                  <c:v>Weekday</c:v>
                </c:pt>
              </c:strCache>
            </c:strRef>
          </c:tx>
          <c:spPr>
            <a:ln w="28575" cap="rnd">
              <a:solidFill>
                <a:schemeClr val="accent1"/>
              </a:solidFill>
              <a:round/>
            </a:ln>
            <a:effectLst/>
          </c:spPr>
          <c:marker>
            <c:symbol val="none"/>
          </c:marker>
          <c:val>
            <c:numRef>
              <c:f>Schedules!$F$29:$AC$29</c:f>
              <c:numCache>
                <c:formatCode>0.00</c:formatCode>
                <c:ptCount val="24"/>
                <c:pt idx="0">
                  <c:v>0</c:v>
                </c:pt>
                <c:pt idx="1">
                  <c:v>0</c:v>
                </c:pt>
                <c:pt idx="2">
                  <c:v>0</c:v>
                </c:pt>
                <c:pt idx="3">
                  <c:v>0</c:v>
                </c:pt>
                <c:pt idx="4">
                  <c:v>0</c:v>
                </c:pt>
                <c:pt idx="5">
                  <c:v>0</c:v>
                </c:pt>
                <c:pt idx="6">
                  <c:v>0</c:v>
                </c:pt>
                <c:pt idx="7">
                  <c:v>0</c:v>
                </c:pt>
                <c:pt idx="8">
                  <c:v>0.2</c:v>
                </c:pt>
                <c:pt idx="9">
                  <c:v>0.2</c:v>
                </c:pt>
                <c:pt idx="10">
                  <c:v>0.2</c:v>
                </c:pt>
                <c:pt idx="11">
                  <c:v>0.8</c:v>
                </c:pt>
                <c:pt idx="12">
                  <c:v>0.8</c:v>
                </c:pt>
                <c:pt idx="13">
                  <c:v>0.8</c:v>
                </c:pt>
                <c:pt idx="14">
                  <c:v>0.8</c:v>
                </c:pt>
                <c:pt idx="15">
                  <c:v>0.8</c:v>
                </c:pt>
                <c:pt idx="16">
                  <c:v>0.8</c:v>
                </c:pt>
                <c:pt idx="17">
                  <c:v>0.8</c:v>
                </c:pt>
                <c:pt idx="18">
                  <c:v>0.2</c:v>
                </c:pt>
                <c:pt idx="19">
                  <c:v>0.2</c:v>
                </c:pt>
                <c:pt idx="20">
                  <c:v>0.2</c:v>
                </c:pt>
                <c:pt idx="21">
                  <c:v>0.2</c:v>
                </c:pt>
                <c:pt idx="22">
                  <c:v>0.1</c:v>
                </c:pt>
                <c:pt idx="23">
                  <c:v>0</c:v>
                </c:pt>
              </c:numCache>
            </c:numRef>
          </c:val>
          <c:smooth val="0"/>
          <c:extLst>
            <c:ext xmlns:c16="http://schemas.microsoft.com/office/drawing/2014/chart" uri="{C3380CC4-5D6E-409C-BE32-E72D297353CC}">
              <c16:uniqueId val="{00000000-06BB-4405-BC60-B55164A79AEF}"/>
            </c:ext>
          </c:extLst>
        </c:ser>
        <c:ser>
          <c:idx val="1"/>
          <c:order val="1"/>
          <c:tx>
            <c:strRef>
              <c:f>Schedules!$E$30</c:f>
              <c:strCache>
                <c:ptCount val="1"/>
                <c:pt idx="0">
                  <c:v>Saturday</c:v>
                </c:pt>
              </c:strCache>
            </c:strRef>
          </c:tx>
          <c:spPr>
            <a:ln w="28575" cap="rnd">
              <a:solidFill>
                <a:schemeClr val="accent2"/>
              </a:solidFill>
              <a:round/>
            </a:ln>
            <a:effectLst/>
          </c:spPr>
          <c:marker>
            <c:symbol val="none"/>
          </c:marker>
          <c:val>
            <c:numRef>
              <c:f>Schedules!$F$30:$AC$30</c:f>
              <c:numCache>
                <c:formatCode>0.00</c:formatCode>
                <c:ptCount val="24"/>
                <c:pt idx="0">
                  <c:v>0</c:v>
                </c:pt>
                <c:pt idx="1">
                  <c:v>0</c:v>
                </c:pt>
                <c:pt idx="2">
                  <c:v>0</c:v>
                </c:pt>
                <c:pt idx="3">
                  <c:v>0</c:v>
                </c:pt>
                <c:pt idx="4">
                  <c:v>0</c:v>
                </c:pt>
                <c:pt idx="5">
                  <c:v>0</c:v>
                </c:pt>
                <c:pt idx="6">
                  <c:v>0</c:v>
                </c:pt>
                <c:pt idx="7">
                  <c:v>0</c:v>
                </c:pt>
                <c:pt idx="8">
                  <c:v>0.2</c:v>
                </c:pt>
                <c:pt idx="9">
                  <c:v>0.2</c:v>
                </c:pt>
                <c:pt idx="10">
                  <c:v>0.2</c:v>
                </c:pt>
                <c:pt idx="11">
                  <c:v>0.6</c:v>
                </c:pt>
                <c:pt idx="12">
                  <c:v>0.6</c:v>
                </c:pt>
                <c:pt idx="13">
                  <c:v>0.6</c:v>
                </c:pt>
                <c:pt idx="14">
                  <c:v>0.6</c:v>
                </c:pt>
                <c:pt idx="15">
                  <c:v>0.6</c:v>
                </c:pt>
                <c:pt idx="16">
                  <c:v>0.6</c:v>
                </c:pt>
                <c:pt idx="17">
                  <c:v>0.6</c:v>
                </c:pt>
                <c:pt idx="18">
                  <c:v>0.6</c:v>
                </c:pt>
                <c:pt idx="19">
                  <c:v>0.6</c:v>
                </c:pt>
                <c:pt idx="20">
                  <c:v>0.6</c:v>
                </c:pt>
                <c:pt idx="21">
                  <c:v>0.8</c:v>
                </c:pt>
                <c:pt idx="22">
                  <c:v>0.1</c:v>
                </c:pt>
                <c:pt idx="23">
                  <c:v>0</c:v>
                </c:pt>
              </c:numCache>
            </c:numRef>
          </c:val>
          <c:smooth val="0"/>
          <c:extLst>
            <c:ext xmlns:c16="http://schemas.microsoft.com/office/drawing/2014/chart" uri="{C3380CC4-5D6E-409C-BE32-E72D297353CC}">
              <c16:uniqueId val="{00000001-06BB-4405-BC60-B55164A79AEF}"/>
            </c:ext>
          </c:extLst>
        </c:ser>
        <c:ser>
          <c:idx val="2"/>
          <c:order val="2"/>
          <c:tx>
            <c:strRef>
              <c:f>Schedules!$E$31</c:f>
              <c:strCache>
                <c:ptCount val="1"/>
                <c:pt idx="0">
                  <c:v>Sunday</c:v>
                </c:pt>
              </c:strCache>
            </c:strRef>
          </c:tx>
          <c:spPr>
            <a:ln w="28575" cap="rnd">
              <a:solidFill>
                <a:schemeClr val="accent3"/>
              </a:solidFill>
              <a:round/>
            </a:ln>
            <a:effectLst/>
          </c:spPr>
          <c:marker>
            <c:symbol val="none"/>
          </c:marker>
          <c:val>
            <c:numRef>
              <c:f>Schedules!$F$31:$AC$31</c:f>
              <c:numCache>
                <c:formatCode>0.00</c:formatCode>
                <c:ptCount val="24"/>
                <c:pt idx="0">
                  <c:v>0</c:v>
                </c:pt>
                <c:pt idx="1">
                  <c:v>0</c:v>
                </c:pt>
                <c:pt idx="2">
                  <c:v>0</c:v>
                </c:pt>
                <c:pt idx="3">
                  <c:v>0</c:v>
                </c:pt>
                <c:pt idx="4">
                  <c:v>0</c:v>
                </c:pt>
                <c:pt idx="5">
                  <c:v>0</c:v>
                </c:pt>
                <c:pt idx="6">
                  <c:v>0</c:v>
                </c:pt>
                <c:pt idx="7">
                  <c:v>0</c:v>
                </c:pt>
                <c:pt idx="8">
                  <c:v>0.1</c:v>
                </c:pt>
                <c:pt idx="9">
                  <c:v>0.1</c:v>
                </c:pt>
                <c:pt idx="10">
                  <c:v>0.1</c:v>
                </c:pt>
                <c:pt idx="11">
                  <c:v>0.1</c:v>
                </c:pt>
                <c:pt idx="12">
                  <c:v>0.1</c:v>
                </c:pt>
                <c:pt idx="13">
                  <c:v>0.7</c:v>
                </c:pt>
                <c:pt idx="14">
                  <c:v>0.7</c:v>
                </c:pt>
                <c:pt idx="15">
                  <c:v>0.7</c:v>
                </c:pt>
                <c:pt idx="16">
                  <c:v>0.7</c:v>
                </c:pt>
                <c:pt idx="17">
                  <c:v>0.7</c:v>
                </c:pt>
                <c:pt idx="18">
                  <c:v>0.7</c:v>
                </c:pt>
                <c:pt idx="19">
                  <c:v>0.7</c:v>
                </c:pt>
                <c:pt idx="20">
                  <c:v>0.7</c:v>
                </c:pt>
                <c:pt idx="21">
                  <c:v>0.7</c:v>
                </c:pt>
                <c:pt idx="22">
                  <c:v>0.2</c:v>
                </c:pt>
                <c:pt idx="23">
                  <c:v>0</c:v>
                </c:pt>
              </c:numCache>
            </c:numRef>
          </c:val>
          <c:smooth val="0"/>
          <c:extLst>
            <c:ext xmlns:c16="http://schemas.microsoft.com/office/drawing/2014/chart" uri="{C3380CC4-5D6E-409C-BE32-E72D297353CC}">
              <c16:uniqueId val="{00000002-06BB-4405-BC60-B55164A79AEF}"/>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Schedules!$C$57</c:f>
          <c:strCache>
            <c:ptCount val="1"/>
            <c:pt idx="0">
              <c:v>Occupancy</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Schedules!$E$57</c:f>
              <c:strCache>
                <c:ptCount val="1"/>
                <c:pt idx="0">
                  <c:v>Weekday</c:v>
                </c:pt>
              </c:strCache>
            </c:strRef>
          </c:tx>
          <c:spPr>
            <a:ln w="28575" cap="rnd">
              <a:solidFill>
                <a:schemeClr val="accent1"/>
              </a:solidFill>
              <a:round/>
            </a:ln>
            <a:effectLst/>
          </c:spPr>
          <c:marker>
            <c:symbol val="none"/>
          </c:marker>
          <c:val>
            <c:numRef>
              <c:f>Schedules!$F$57:$AC$57</c:f>
              <c:numCache>
                <c:formatCode>0.00</c:formatCode>
                <c:ptCount val="24"/>
                <c:pt idx="0">
                  <c:v>0.1</c:v>
                </c:pt>
                <c:pt idx="1">
                  <c:v>0.1</c:v>
                </c:pt>
                <c:pt idx="2">
                  <c:v>0.1</c:v>
                </c:pt>
                <c:pt idx="3">
                  <c:v>0.1</c:v>
                </c:pt>
                <c:pt idx="4">
                  <c:v>0.1</c:v>
                </c:pt>
                <c:pt idx="5">
                  <c:v>0.3</c:v>
                </c:pt>
                <c:pt idx="6">
                  <c:v>0.45</c:v>
                </c:pt>
                <c:pt idx="7">
                  <c:v>0.45</c:v>
                </c:pt>
                <c:pt idx="8">
                  <c:v>0.45</c:v>
                </c:pt>
                <c:pt idx="9">
                  <c:v>0.45</c:v>
                </c:pt>
                <c:pt idx="10">
                  <c:v>0.3</c:v>
                </c:pt>
                <c:pt idx="11">
                  <c:v>0.3</c:v>
                </c:pt>
                <c:pt idx="12">
                  <c:v>0.3</c:v>
                </c:pt>
                <c:pt idx="13">
                  <c:v>0.3</c:v>
                </c:pt>
                <c:pt idx="14">
                  <c:v>0.3</c:v>
                </c:pt>
                <c:pt idx="15">
                  <c:v>0.3</c:v>
                </c:pt>
                <c:pt idx="16">
                  <c:v>0.3</c:v>
                </c:pt>
                <c:pt idx="17">
                  <c:v>0.3</c:v>
                </c:pt>
                <c:pt idx="18">
                  <c:v>0.6</c:v>
                </c:pt>
                <c:pt idx="19">
                  <c:v>0.8</c:v>
                </c:pt>
                <c:pt idx="20">
                  <c:v>0.9</c:v>
                </c:pt>
                <c:pt idx="21">
                  <c:v>0.8</c:v>
                </c:pt>
                <c:pt idx="22">
                  <c:v>0.6</c:v>
                </c:pt>
                <c:pt idx="23">
                  <c:v>0.3</c:v>
                </c:pt>
              </c:numCache>
            </c:numRef>
          </c:val>
          <c:smooth val="0"/>
          <c:extLst>
            <c:ext xmlns:c16="http://schemas.microsoft.com/office/drawing/2014/chart" uri="{C3380CC4-5D6E-409C-BE32-E72D297353CC}">
              <c16:uniqueId val="{00000000-A203-4026-A178-63A12F4A17C5}"/>
            </c:ext>
          </c:extLst>
        </c:ser>
        <c:ser>
          <c:idx val="1"/>
          <c:order val="1"/>
          <c:tx>
            <c:strRef>
              <c:f>Schedules!$E$58</c:f>
              <c:strCache>
                <c:ptCount val="1"/>
                <c:pt idx="0">
                  <c:v>Saturday</c:v>
                </c:pt>
              </c:strCache>
            </c:strRef>
          </c:tx>
          <c:spPr>
            <a:ln w="28575" cap="rnd">
              <a:solidFill>
                <a:schemeClr val="accent2"/>
              </a:solidFill>
              <a:round/>
            </a:ln>
            <a:effectLst/>
          </c:spPr>
          <c:marker>
            <c:symbol val="none"/>
          </c:marker>
          <c:val>
            <c:numRef>
              <c:f>Schedules!$F$58:$AC$58</c:f>
              <c:numCache>
                <c:formatCode>0.00</c:formatCode>
                <c:ptCount val="24"/>
                <c:pt idx="0">
                  <c:v>0.1</c:v>
                </c:pt>
                <c:pt idx="1">
                  <c:v>0.1</c:v>
                </c:pt>
                <c:pt idx="2">
                  <c:v>0.1</c:v>
                </c:pt>
                <c:pt idx="3">
                  <c:v>0.1</c:v>
                </c:pt>
                <c:pt idx="4">
                  <c:v>0.1</c:v>
                </c:pt>
                <c:pt idx="5">
                  <c:v>0.3</c:v>
                </c:pt>
                <c:pt idx="6">
                  <c:v>0.45</c:v>
                </c:pt>
                <c:pt idx="7">
                  <c:v>0.45</c:v>
                </c:pt>
                <c:pt idx="8">
                  <c:v>0.45</c:v>
                </c:pt>
                <c:pt idx="9">
                  <c:v>0.45</c:v>
                </c:pt>
                <c:pt idx="10">
                  <c:v>0.3</c:v>
                </c:pt>
                <c:pt idx="11">
                  <c:v>0.3</c:v>
                </c:pt>
                <c:pt idx="12">
                  <c:v>0.3</c:v>
                </c:pt>
                <c:pt idx="13">
                  <c:v>0.3</c:v>
                </c:pt>
                <c:pt idx="14">
                  <c:v>0.3</c:v>
                </c:pt>
                <c:pt idx="15">
                  <c:v>0.3</c:v>
                </c:pt>
                <c:pt idx="16">
                  <c:v>0.3</c:v>
                </c:pt>
                <c:pt idx="17">
                  <c:v>0.3</c:v>
                </c:pt>
                <c:pt idx="18">
                  <c:v>0.6</c:v>
                </c:pt>
                <c:pt idx="19">
                  <c:v>0.8</c:v>
                </c:pt>
                <c:pt idx="20">
                  <c:v>0.9</c:v>
                </c:pt>
                <c:pt idx="21">
                  <c:v>0.8</c:v>
                </c:pt>
                <c:pt idx="22">
                  <c:v>0.6</c:v>
                </c:pt>
                <c:pt idx="23">
                  <c:v>0.3</c:v>
                </c:pt>
              </c:numCache>
            </c:numRef>
          </c:val>
          <c:smooth val="0"/>
          <c:extLst>
            <c:ext xmlns:c16="http://schemas.microsoft.com/office/drawing/2014/chart" uri="{C3380CC4-5D6E-409C-BE32-E72D297353CC}">
              <c16:uniqueId val="{00000001-A203-4026-A178-63A12F4A17C5}"/>
            </c:ext>
          </c:extLst>
        </c:ser>
        <c:ser>
          <c:idx val="2"/>
          <c:order val="2"/>
          <c:tx>
            <c:strRef>
              <c:f>Schedules!$E$59</c:f>
              <c:strCache>
                <c:ptCount val="1"/>
                <c:pt idx="0">
                  <c:v>Sunday</c:v>
                </c:pt>
              </c:strCache>
            </c:strRef>
          </c:tx>
          <c:spPr>
            <a:ln w="28575" cap="rnd">
              <a:solidFill>
                <a:schemeClr val="accent3"/>
              </a:solidFill>
              <a:round/>
            </a:ln>
            <a:effectLst/>
          </c:spPr>
          <c:marker>
            <c:symbol val="none"/>
          </c:marker>
          <c:val>
            <c:numRef>
              <c:f>Schedules!$F$59:$AC$59</c:f>
              <c:numCache>
                <c:formatCode>0.00</c:formatCode>
                <c:ptCount val="24"/>
                <c:pt idx="0">
                  <c:v>0.1</c:v>
                </c:pt>
                <c:pt idx="1">
                  <c:v>0.1</c:v>
                </c:pt>
                <c:pt idx="2">
                  <c:v>0.1</c:v>
                </c:pt>
                <c:pt idx="3">
                  <c:v>0.1</c:v>
                </c:pt>
                <c:pt idx="4">
                  <c:v>0.1</c:v>
                </c:pt>
                <c:pt idx="5">
                  <c:v>0.3</c:v>
                </c:pt>
                <c:pt idx="6">
                  <c:v>0.45</c:v>
                </c:pt>
                <c:pt idx="7">
                  <c:v>0.45</c:v>
                </c:pt>
                <c:pt idx="8">
                  <c:v>0.45</c:v>
                </c:pt>
                <c:pt idx="9">
                  <c:v>0.45</c:v>
                </c:pt>
                <c:pt idx="10">
                  <c:v>0.3</c:v>
                </c:pt>
                <c:pt idx="11">
                  <c:v>0.3</c:v>
                </c:pt>
                <c:pt idx="12">
                  <c:v>0.3</c:v>
                </c:pt>
                <c:pt idx="13">
                  <c:v>0.3</c:v>
                </c:pt>
                <c:pt idx="14">
                  <c:v>0.3</c:v>
                </c:pt>
                <c:pt idx="15">
                  <c:v>0.3</c:v>
                </c:pt>
                <c:pt idx="16">
                  <c:v>0.3</c:v>
                </c:pt>
                <c:pt idx="17">
                  <c:v>0.3</c:v>
                </c:pt>
                <c:pt idx="18">
                  <c:v>0.6</c:v>
                </c:pt>
                <c:pt idx="19">
                  <c:v>0.8</c:v>
                </c:pt>
                <c:pt idx="20">
                  <c:v>0.9</c:v>
                </c:pt>
                <c:pt idx="21">
                  <c:v>0.8</c:v>
                </c:pt>
                <c:pt idx="22">
                  <c:v>0.6</c:v>
                </c:pt>
                <c:pt idx="23">
                  <c:v>0.3</c:v>
                </c:pt>
              </c:numCache>
            </c:numRef>
          </c:val>
          <c:smooth val="0"/>
          <c:extLst>
            <c:ext xmlns:c16="http://schemas.microsoft.com/office/drawing/2014/chart" uri="{C3380CC4-5D6E-409C-BE32-E72D297353CC}">
              <c16:uniqueId val="{00000002-A203-4026-A178-63A12F4A17C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Schedules!$C$63</c:f>
          <c:strCache>
            <c:ptCount val="1"/>
            <c:pt idx="0">
              <c:v>ElecEquipment</c:v>
            </c:pt>
          </c:strCache>
        </c:strRef>
      </c:tx>
      <c:layout>
        <c:manualLayout>
          <c:xMode val="edge"/>
          <c:yMode val="edge"/>
          <c:x val="0.11467703110168408"/>
          <c:y val="6.1096122160172864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Schedules!$E$63</c:f>
              <c:strCache>
                <c:ptCount val="1"/>
                <c:pt idx="0">
                  <c:v>Weekday</c:v>
                </c:pt>
              </c:strCache>
            </c:strRef>
          </c:tx>
          <c:spPr>
            <a:ln w="28575" cap="rnd">
              <a:solidFill>
                <a:schemeClr val="accent1"/>
              </a:solidFill>
              <a:round/>
            </a:ln>
            <a:effectLst/>
          </c:spPr>
          <c:marker>
            <c:symbol val="none"/>
          </c:marker>
          <c:val>
            <c:numRef>
              <c:f>Schedules!$F$63:$AC$63</c:f>
              <c:numCache>
                <c:formatCode>0.00</c:formatCode>
                <c:ptCount val="24"/>
                <c:pt idx="0">
                  <c:v>0.1</c:v>
                </c:pt>
                <c:pt idx="1">
                  <c:v>0.1</c:v>
                </c:pt>
                <c:pt idx="2">
                  <c:v>0.1</c:v>
                </c:pt>
                <c:pt idx="3">
                  <c:v>0.1</c:v>
                </c:pt>
                <c:pt idx="4">
                  <c:v>0.1</c:v>
                </c:pt>
                <c:pt idx="5">
                  <c:v>0.3</c:v>
                </c:pt>
                <c:pt idx="6">
                  <c:v>0.45</c:v>
                </c:pt>
                <c:pt idx="7">
                  <c:v>0.45</c:v>
                </c:pt>
                <c:pt idx="8">
                  <c:v>0.45</c:v>
                </c:pt>
                <c:pt idx="9">
                  <c:v>0.45</c:v>
                </c:pt>
                <c:pt idx="10">
                  <c:v>0.3</c:v>
                </c:pt>
                <c:pt idx="11">
                  <c:v>0.3</c:v>
                </c:pt>
                <c:pt idx="12">
                  <c:v>0.3</c:v>
                </c:pt>
                <c:pt idx="13">
                  <c:v>0.3</c:v>
                </c:pt>
                <c:pt idx="14">
                  <c:v>0.3</c:v>
                </c:pt>
                <c:pt idx="15">
                  <c:v>0.3</c:v>
                </c:pt>
                <c:pt idx="16">
                  <c:v>0.3</c:v>
                </c:pt>
                <c:pt idx="17">
                  <c:v>0.3</c:v>
                </c:pt>
                <c:pt idx="18">
                  <c:v>0.6</c:v>
                </c:pt>
                <c:pt idx="19">
                  <c:v>0.8</c:v>
                </c:pt>
                <c:pt idx="20">
                  <c:v>0.9</c:v>
                </c:pt>
                <c:pt idx="21">
                  <c:v>0.8</c:v>
                </c:pt>
                <c:pt idx="22">
                  <c:v>0.6</c:v>
                </c:pt>
                <c:pt idx="23">
                  <c:v>0.3</c:v>
                </c:pt>
              </c:numCache>
            </c:numRef>
          </c:val>
          <c:smooth val="0"/>
          <c:extLst>
            <c:ext xmlns:c16="http://schemas.microsoft.com/office/drawing/2014/chart" uri="{C3380CC4-5D6E-409C-BE32-E72D297353CC}">
              <c16:uniqueId val="{00000000-0B78-4ECF-807F-130439B80561}"/>
            </c:ext>
          </c:extLst>
        </c:ser>
        <c:ser>
          <c:idx val="1"/>
          <c:order val="1"/>
          <c:tx>
            <c:strRef>
              <c:f>Schedules!$E$64</c:f>
              <c:strCache>
                <c:ptCount val="1"/>
                <c:pt idx="0">
                  <c:v>Saturday</c:v>
                </c:pt>
              </c:strCache>
            </c:strRef>
          </c:tx>
          <c:spPr>
            <a:ln w="28575" cap="rnd">
              <a:solidFill>
                <a:schemeClr val="accent2"/>
              </a:solidFill>
              <a:round/>
            </a:ln>
            <a:effectLst/>
          </c:spPr>
          <c:marker>
            <c:symbol val="none"/>
          </c:marker>
          <c:val>
            <c:numRef>
              <c:f>Schedules!$F$64:$AC$64</c:f>
              <c:numCache>
                <c:formatCode>0.00</c:formatCode>
                <c:ptCount val="24"/>
                <c:pt idx="0">
                  <c:v>0.1</c:v>
                </c:pt>
                <c:pt idx="1">
                  <c:v>0.1</c:v>
                </c:pt>
                <c:pt idx="2">
                  <c:v>0.1</c:v>
                </c:pt>
                <c:pt idx="3">
                  <c:v>0.1</c:v>
                </c:pt>
                <c:pt idx="4">
                  <c:v>0.1</c:v>
                </c:pt>
                <c:pt idx="5">
                  <c:v>0.3</c:v>
                </c:pt>
                <c:pt idx="6">
                  <c:v>0.45</c:v>
                </c:pt>
                <c:pt idx="7">
                  <c:v>0.45</c:v>
                </c:pt>
                <c:pt idx="8">
                  <c:v>0.45</c:v>
                </c:pt>
                <c:pt idx="9">
                  <c:v>0.45</c:v>
                </c:pt>
                <c:pt idx="10">
                  <c:v>0.3</c:v>
                </c:pt>
                <c:pt idx="11">
                  <c:v>0.3</c:v>
                </c:pt>
                <c:pt idx="12">
                  <c:v>0.3</c:v>
                </c:pt>
                <c:pt idx="13">
                  <c:v>0.3</c:v>
                </c:pt>
                <c:pt idx="14">
                  <c:v>0.3</c:v>
                </c:pt>
                <c:pt idx="15">
                  <c:v>0.3</c:v>
                </c:pt>
                <c:pt idx="16">
                  <c:v>0.3</c:v>
                </c:pt>
                <c:pt idx="17">
                  <c:v>0.3</c:v>
                </c:pt>
                <c:pt idx="18">
                  <c:v>0.6</c:v>
                </c:pt>
                <c:pt idx="19">
                  <c:v>0.8</c:v>
                </c:pt>
                <c:pt idx="20">
                  <c:v>0.9</c:v>
                </c:pt>
                <c:pt idx="21">
                  <c:v>0.8</c:v>
                </c:pt>
                <c:pt idx="22">
                  <c:v>0.6</c:v>
                </c:pt>
                <c:pt idx="23">
                  <c:v>0.3</c:v>
                </c:pt>
              </c:numCache>
            </c:numRef>
          </c:val>
          <c:smooth val="0"/>
          <c:extLst>
            <c:ext xmlns:c16="http://schemas.microsoft.com/office/drawing/2014/chart" uri="{C3380CC4-5D6E-409C-BE32-E72D297353CC}">
              <c16:uniqueId val="{00000001-0B78-4ECF-807F-130439B80561}"/>
            </c:ext>
          </c:extLst>
        </c:ser>
        <c:ser>
          <c:idx val="2"/>
          <c:order val="2"/>
          <c:tx>
            <c:strRef>
              <c:f>Schedules!$E$65</c:f>
              <c:strCache>
                <c:ptCount val="1"/>
                <c:pt idx="0">
                  <c:v>Sunday</c:v>
                </c:pt>
              </c:strCache>
            </c:strRef>
          </c:tx>
          <c:spPr>
            <a:ln w="28575" cap="rnd">
              <a:solidFill>
                <a:schemeClr val="accent3"/>
              </a:solidFill>
              <a:round/>
            </a:ln>
            <a:effectLst/>
          </c:spPr>
          <c:marker>
            <c:symbol val="none"/>
          </c:marker>
          <c:val>
            <c:numRef>
              <c:f>Schedules!$F$65:$AC$65</c:f>
              <c:numCache>
                <c:formatCode>0.00</c:formatCode>
                <c:ptCount val="24"/>
                <c:pt idx="0">
                  <c:v>0.1</c:v>
                </c:pt>
                <c:pt idx="1">
                  <c:v>0.1</c:v>
                </c:pt>
                <c:pt idx="2">
                  <c:v>0.1</c:v>
                </c:pt>
                <c:pt idx="3">
                  <c:v>0.1</c:v>
                </c:pt>
                <c:pt idx="4">
                  <c:v>0.1</c:v>
                </c:pt>
                <c:pt idx="5">
                  <c:v>0.3</c:v>
                </c:pt>
                <c:pt idx="6">
                  <c:v>0.45</c:v>
                </c:pt>
                <c:pt idx="7">
                  <c:v>0.45</c:v>
                </c:pt>
                <c:pt idx="8">
                  <c:v>0.45</c:v>
                </c:pt>
                <c:pt idx="9">
                  <c:v>0.45</c:v>
                </c:pt>
                <c:pt idx="10">
                  <c:v>0.3</c:v>
                </c:pt>
                <c:pt idx="11">
                  <c:v>0.3</c:v>
                </c:pt>
                <c:pt idx="12">
                  <c:v>0.3</c:v>
                </c:pt>
                <c:pt idx="13">
                  <c:v>0.3</c:v>
                </c:pt>
                <c:pt idx="14">
                  <c:v>0.3</c:v>
                </c:pt>
                <c:pt idx="15">
                  <c:v>0.3</c:v>
                </c:pt>
                <c:pt idx="16">
                  <c:v>0.3</c:v>
                </c:pt>
                <c:pt idx="17">
                  <c:v>0.3</c:v>
                </c:pt>
                <c:pt idx="18">
                  <c:v>0.6</c:v>
                </c:pt>
                <c:pt idx="19">
                  <c:v>0.8</c:v>
                </c:pt>
                <c:pt idx="20">
                  <c:v>0.9</c:v>
                </c:pt>
                <c:pt idx="21">
                  <c:v>0.8</c:v>
                </c:pt>
                <c:pt idx="22">
                  <c:v>0.6</c:v>
                </c:pt>
                <c:pt idx="23">
                  <c:v>0.3</c:v>
                </c:pt>
              </c:numCache>
            </c:numRef>
          </c:val>
          <c:smooth val="0"/>
          <c:extLst>
            <c:ext xmlns:c16="http://schemas.microsoft.com/office/drawing/2014/chart" uri="{C3380CC4-5D6E-409C-BE32-E72D297353CC}">
              <c16:uniqueId val="{00000002-0B78-4ECF-807F-130439B80561}"/>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Schedules!$C$72</c:f>
          <c:strCache>
            <c:ptCount val="1"/>
            <c:pt idx="0">
              <c:v>Infiltration</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Schedules!$E$72</c:f>
              <c:strCache>
                <c:ptCount val="1"/>
                <c:pt idx="0">
                  <c:v>Weekday</c:v>
                </c:pt>
              </c:strCache>
            </c:strRef>
          </c:tx>
          <c:spPr>
            <a:ln w="28575" cap="rnd">
              <a:solidFill>
                <a:schemeClr val="accent1"/>
              </a:solidFill>
              <a:round/>
            </a:ln>
            <a:effectLst/>
          </c:spPr>
          <c:marker>
            <c:symbol val="none"/>
          </c:marker>
          <c:val>
            <c:numRef>
              <c:f>Schedules!$F$72:$AC$72</c:f>
              <c:numCache>
                <c:formatCode>0.00</c:formatCode>
                <c:ptCount val="24"/>
                <c:pt idx="0">
                  <c:v>0.25</c:v>
                </c:pt>
                <c:pt idx="1">
                  <c:v>0.25</c:v>
                </c:pt>
                <c:pt idx="2">
                  <c:v>0.25</c:v>
                </c:pt>
                <c:pt idx="3">
                  <c:v>0.25</c:v>
                </c:pt>
                <c:pt idx="4">
                  <c:v>0.25</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0-BA6D-4A2D-B204-7C772FDC14FB}"/>
            </c:ext>
          </c:extLst>
        </c:ser>
        <c:ser>
          <c:idx val="1"/>
          <c:order val="1"/>
          <c:tx>
            <c:strRef>
              <c:f>Schedules!$E$73</c:f>
              <c:strCache>
                <c:ptCount val="1"/>
                <c:pt idx="0">
                  <c:v>Saturday</c:v>
                </c:pt>
              </c:strCache>
            </c:strRef>
          </c:tx>
          <c:spPr>
            <a:ln w="28575" cap="rnd">
              <a:solidFill>
                <a:schemeClr val="accent2"/>
              </a:solidFill>
              <a:round/>
            </a:ln>
            <a:effectLst/>
          </c:spPr>
          <c:marker>
            <c:symbol val="none"/>
          </c:marker>
          <c:val>
            <c:numRef>
              <c:f>Schedules!$F$73:$AC$73</c:f>
              <c:numCache>
                <c:formatCode>0.00</c:formatCode>
                <c:ptCount val="24"/>
                <c:pt idx="0">
                  <c:v>0.25</c:v>
                </c:pt>
                <c:pt idx="1">
                  <c:v>0.25</c:v>
                </c:pt>
                <c:pt idx="2">
                  <c:v>0.25</c:v>
                </c:pt>
                <c:pt idx="3">
                  <c:v>0.25</c:v>
                </c:pt>
                <c:pt idx="4">
                  <c:v>0.25</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1-BA6D-4A2D-B204-7C772FDC14FB}"/>
            </c:ext>
          </c:extLst>
        </c:ser>
        <c:ser>
          <c:idx val="2"/>
          <c:order val="2"/>
          <c:tx>
            <c:strRef>
              <c:f>Schedules!$E$74</c:f>
              <c:strCache>
                <c:ptCount val="1"/>
                <c:pt idx="0">
                  <c:v>Sunday</c:v>
                </c:pt>
              </c:strCache>
            </c:strRef>
          </c:tx>
          <c:spPr>
            <a:ln w="28575" cap="rnd">
              <a:solidFill>
                <a:schemeClr val="accent3"/>
              </a:solidFill>
              <a:round/>
            </a:ln>
            <a:effectLst/>
          </c:spPr>
          <c:marker>
            <c:symbol val="none"/>
          </c:marker>
          <c:val>
            <c:numRef>
              <c:f>Schedules!$F$74:$AC$74</c:f>
              <c:numCache>
                <c:formatCode>0.00</c:formatCode>
                <c:ptCount val="24"/>
                <c:pt idx="0">
                  <c:v>0.25</c:v>
                </c:pt>
                <c:pt idx="1">
                  <c:v>0.25</c:v>
                </c:pt>
                <c:pt idx="2">
                  <c:v>0.25</c:v>
                </c:pt>
                <c:pt idx="3">
                  <c:v>0.25</c:v>
                </c:pt>
                <c:pt idx="4">
                  <c:v>0.25</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2-BA6D-4A2D-B204-7C772FDC14FB}"/>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Schedules!$C$85</c:f>
          <c:strCache>
            <c:ptCount val="1"/>
            <c:pt idx="0">
              <c:v>Lights</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Schedules!$E$85</c:f>
              <c:strCache>
                <c:ptCount val="1"/>
                <c:pt idx="0">
                  <c:v>Weekday</c:v>
                </c:pt>
              </c:strCache>
            </c:strRef>
          </c:tx>
          <c:spPr>
            <a:ln w="28575" cap="rnd">
              <a:solidFill>
                <a:schemeClr val="accent1"/>
              </a:solidFill>
              <a:round/>
            </a:ln>
            <a:effectLst/>
          </c:spPr>
          <c:marker>
            <c:symbol val="none"/>
          </c:marker>
          <c:val>
            <c:numRef>
              <c:f>Schedules!$F$85:$AC$85</c:f>
              <c:numCache>
                <c:formatCode>0.00</c:formatCode>
                <c:ptCount val="24"/>
                <c:pt idx="0">
                  <c:v>0.1</c:v>
                </c:pt>
                <c:pt idx="1">
                  <c:v>0.1</c:v>
                </c:pt>
                <c:pt idx="2">
                  <c:v>0.1</c:v>
                </c:pt>
                <c:pt idx="3">
                  <c:v>0.1</c:v>
                </c:pt>
                <c:pt idx="4">
                  <c:v>0.1</c:v>
                </c:pt>
                <c:pt idx="5">
                  <c:v>0.3</c:v>
                </c:pt>
                <c:pt idx="6">
                  <c:v>0.45</c:v>
                </c:pt>
                <c:pt idx="7">
                  <c:v>0.45</c:v>
                </c:pt>
                <c:pt idx="8">
                  <c:v>0.45</c:v>
                </c:pt>
                <c:pt idx="9">
                  <c:v>0.45</c:v>
                </c:pt>
                <c:pt idx="10">
                  <c:v>0.3</c:v>
                </c:pt>
                <c:pt idx="11">
                  <c:v>0.3</c:v>
                </c:pt>
                <c:pt idx="12">
                  <c:v>0.3</c:v>
                </c:pt>
                <c:pt idx="13">
                  <c:v>0.3</c:v>
                </c:pt>
                <c:pt idx="14">
                  <c:v>0.3</c:v>
                </c:pt>
                <c:pt idx="15">
                  <c:v>0.3</c:v>
                </c:pt>
                <c:pt idx="16">
                  <c:v>0.3</c:v>
                </c:pt>
                <c:pt idx="17">
                  <c:v>0.3</c:v>
                </c:pt>
                <c:pt idx="18">
                  <c:v>0.6</c:v>
                </c:pt>
                <c:pt idx="19">
                  <c:v>0.8</c:v>
                </c:pt>
                <c:pt idx="20">
                  <c:v>0.9</c:v>
                </c:pt>
                <c:pt idx="21">
                  <c:v>0.8</c:v>
                </c:pt>
                <c:pt idx="22">
                  <c:v>0.6</c:v>
                </c:pt>
                <c:pt idx="23">
                  <c:v>0.3</c:v>
                </c:pt>
              </c:numCache>
            </c:numRef>
          </c:val>
          <c:smooth val="0"/>
          <c:extLst>
            <c:ext xmlns:c16="http://schemas.microsoft.com/office/drawing/2014/chart" uri="{C3380CC4-5D6E-409C-BE32-E72D297353CC}">
              <c16:uniqueId val="{00000000-5865-4331-8B5B-9E6C1F196204}"/>
            </c:ext>
          </c:extLst>
        </c:ser>
        <c:ser>
          <c:idx val="1"/>
          <c:order val="1"/>
          <c:tx>
            <c:strRef>
              <c:f>Schedules!$E$86</c:f>
              <c:strCache>
                <c:ptCount val="1"/>
                <c:pt idx="0">
                  <c:v>Saturday</c:v>
                </c:pt>
              </c:strCache>
            </c:strRef>
          </c:tx>
          <c:spPr>
            <a:ln w="28575" cap="rnd">
              <a:solidFill>
                <a:schemeClr val="accent2"/>
              </a:solidFill>
              <a:round/>
            </a:ln>
            <a:effectLst/>
          </c:spPr>
          <c:marker>
            <c:symbol val="none"/>
          </c:marker>
          <c:val>
            <c:numRef>
              <c:f>Schedules!$F$86:$AC$86</c:f>
              <c:numCache>
                <c:formatCode>0.00</c:formatCode>
                <c:ptCount val="24"/>
                <c:pt idx="0">
                  <c:v>0.1</c:v>
                </c:pt>
                <c:pt idx="1">
                  <c:v>0.1</c:v>
                </c:pt>
                <c:pt idx="2">
                  <c:v>0.1</c:v>
                </c:pt>
                <c:pt idx="3">
                  <c:v>0.1</c:v>
                </c:pt>
                <c:pt idx="4">
                  <c:v>0.1</c:v>
                </c:pt>
                <c:pt idx="5">
                  <c:v>0.3</c:v>
                </c:pt>
                <c:pt idx="6">
                  <c:v>0.45</c:v>
                </c:pt>
                <c:pt idx="7">
                  <c:v>0.45</c:v>
                </c:pt>
                <c:pt idx="8">
                  <c:v>0.45</c:v>
                </c:pt>
                <c:pt idx="9">
                  <c:v>0.45</c:v>
                </c:pt>
                <c:pt idx="10">
                  <c:v>0.3</c:v>
                </c:pt>
                <c:pt idx="11">
                  <c:v>0.3</c:v>
                </c:pt>
                <c:pt idx="12">
                  <c:v>0.3</c:v>
                </c:pt>
                <c:pt idx="13">
                  <c:v>0.3</c:v>
                </c:pt>
                <c:pt idx="14">
                  <c:v>0.3</c:v>
                </c:pt>
                <c:pt idx="15">
                  <c:v>0.3</c:v>
                </c:pt>
                <c:pt idx="16">
                  <c:v>0.3</c:v>
                </c:pt>
                <c:pt idx="17">
                  <c:v>0.3</c:v>
                </c:pt>
                <c:pt idx="18">
                  <c:v>0.6</c:v>
                </c:pt>
                <c:pt idx="19">
                  <c:v>0.8</c:v>
                </c:pt>
                <c:pt idx="20">
                  <c:v>0.9</c:v>
                </c:pt>
                <c:pt idx="21">
                  <c:v>0.8</c:v>
                </c:pt>
                <c:pt idx="22">
                  <c:v>0.6</c:v>
                </c:pt>
                <c:pt idx="23">
                  <c:v>0.3</c:v>
                </c:pt>
              </c:numCache>
            </c:numRef>
          </c:val>
          <c:smooth val="0"/>
          <c:extLst>
            <c:ext xmlns:c16="http://schemas.microsoft.com/office/drawing/2014/chart" uri="{C3380CC4-5D6E-409C-BE32-E72D297353CC}">
              <c16:uniqueId val="{00000001-5865-4331-8B5B-9E6C1F196204}"/>
            </c:ext>
          </c:extLst>
        </c:ser>
        <c:ser>
          <c:idx val="2"/>
          <c:order val="2"/>
          <c:tx>
            <c:strRef>
              <c:f>Schedules!$E$87</c:f>
              <c:strCache>
                <c:ptCount val="1"/>
                <c:pt idx="0">
                  <c:v>Sunday</c:v>
                </c:pt>
              </c:strCache>
            </c:strRef>
          </c:tx>
          <c:spPr>
            <a:ln w="28575" cap="rnd">
              <a:solidFill>
                <a:schemeClr val="accent3"/>
              </a:solidFill>
              <a:round/>
            </a:ln>
            <a:effectLst/>
          </c:spPr>
          <c:marker>
            <c:symbol val="none"/>
          </c:marker>
          <c:val>
            <c:numRef>
              <c:f>Schedules!$F$87:$AC$87</c:f>
              <c:numCache>
                <c:formatCode>0.00</c:formatCode>
                <c:ptCount val="24"/>
                <c:pt idx="0">
                  <c:v>0.1</c:v>
                </c:pt>
                <c:pt idx="1">
                  <c:v>0.1</c:v>
                </c:pt>
                <c:pt idx="2">
                  <c:v>0.1</c:v>
                </c:pt>
                <c:pt idx="3">
                  <c:v>0.1</c:v>
                </c:pt>
                <c:pt idx="4">
                  <c:v>0.1</c:v>
                </c:pt>
                <c:pt idx="5">
                  <c:v>0.3</c:v>
                </c:pt>
                <c:pt idx="6">
                  <c:v>0.45</c:v>
                </c:pt>
                <c:pt idx="7">
                  <c:v>0.45</c:v>
                </c:pt>
                <c:pt idx="8">
                  <c:v>0.45</c:v>
                </c:pt>
                <c:pt idx="9">
                  <c:v>0.45</c:v>
                </c:pt>
                <c:pt idx="10">
                  <c:v>0.3</c:v>
                </c:pt>
                <c:pt idx="11">
                  <c:v>0.3</c:v>
                </c:pt>
                <c:pt idx="12">
                  <c:v>0.3</c:v>
                </c:pt>
                <c:pt idx="13">
                  <c:v>0.3</c:v>
                </c:pt>
                <c:pt idx="14">
                  <c:v>0.3</c:v>
                </c:pt>
                <c:pt idx="15">
                  <c:v>0.3</c:v>
                </c:pt>
                <c:pt idx="16">
                  <c:v>0.3</c:v>
                </c:pt>
                <c:pt idx="17">
                  <c:v>0.3</c:v>
                </c:pt>
                <c:pt idx="18">
                  <c:v>0.6</c:v>
                </c:pt>
                <c:pt idx="19">
                  <c:v>0.8</c:v>
                </c:pt>
                <c:pt idx="20">
                  <c:v>0.9</c:v>
                </c:pt>
                <c:pt idx="21">
                  <c:v>0.8</c:v>
                </c:pt>
                <c:pt idx="22">
                  <c:v>0.6</c:v>
                </c:pt>
                <c:pt idx="23">
                  <c:v>0.3</c:v>
                </c:pt>
              </c:numCache>
            </c:numRef>
          </c:val>
          <c:smooth val="0"/>
          <c:extLst>
            <c:ext xmlns:c16="http://schemas.microsoft.com/office/drawing/2014/chart" uri="{C3380CC4-5D6E-409C-BE32-E72D297353CC}">
              <c16:uniqueId val="{00000002-5865-4331-8B5B-9E6C1F196204}"/>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Schedules!$C$94</c:f>
          <c:strCache>
            <c:ptCount val="1"/>
            <c:pt idx="0">
              <c:v>ServiceHotWater</c:v>
            </c:pt>
          </c:strCache>
        </c:strRef>
      </c:tx>
      <c:layout>
        <c:manualLayout>
          <c:xMode val="edge"/>
          <c:yMode val="edge"/>
          <c:x val="0.26716733239887436"/>
          <c:y val="3.9147901297221878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Schedules!$E$94</c:f>
              <c:strCache>
                <c:ptCount val="1"/>
                <c:pt idx="0">
                  <c:v>Weekday</c:v>
                </c:pt>
              </c:strCache>
            </c:strRef>
          </c:tx>
          <c:spPr>
            <a:ln w="28575" cap="rnd">
              <a:solidFill>
                <a:schemeClr val="accent1"/>
              </a:solidFill>
              <a:round/>
            </a:ln>
            <a:effectLst/>
          </c:spPr>
          <c:marker>
            <c:symbol val="none"/>
          </c:marker>
          <c:val>
            <c:numRef>
              <c:f>Schedules!$F$94:$AC$94</c:f>
              <c:numCache>
                <c:formatCode>0.00</c:formatCode>
                <c:ptCount val="24"/>
                <c:pt idx="0">
                  <c:v>0.13100000000000001</c:v>
                </c:pt>
                <c:pt idx="1">
                  <c:v>7.4999999999999997E-2</c:v>
                </c:pt>
                <c:pt idx="2">
                  <c:v>8.4000000000000005E-2</c:v>
                </c:pt>
                <c:pt idx="3">
                  <c:v>0.10299999999999999</c:v>
                </c:pt>
                <c:pt idx="4">
                  <c:v>0.187</c:v>
                </c:pt>
                <c:pt idx="5">
                  <c:v>0.41099999999999998</c:v>
                </c:pt>
                <c:pt idx="6">
                  <c:v>0.83199999999999996</c:v>
                </c:pt>
                <c:pt idx="7">
                  <c:v>1</c:v>
                </c:pt>
                <c:pt idx="8">
                  <c:v>0.83199999999999996</c:v>
                </c:pt>
                <c:pt idx="9">
                  <c:v>0.61699999999999999</c:v>
                </c:pt>
                <c:pt idx="10">
                  <c:v>0.48599999999999999</c:v>
                </c:pt>
                <c:pt idx="11">
                  <c:v>0.35499999999999998</c:v>
                </c:pt>
                <c:pt idx="12">
                  <c:v>0.33600000000000002</c:v>
                </c:pt>
                <c:pt idx="13">
                  <c:v>0.308</c:v>
                </c:pt>
                <c:pt idx="14">
                  <c:v>0.29899999999999999</c:v>
                </c:pt>
                <c:pt idx="15">
                  <c:v>0.24299999999999999</c:v>
                </c:pt>
                <c:pt idx="16">
                  <c:v>0.39300000000000002</c:v>
                </c:pt>
                <c:pt idx="17">
                  <c:v>0.44900000000000001</c:v>
                </c:pt>
                <c:pt idx="18">
                  <c:v>0.48599999999999999</c:v>
                </c:pt>
                <c:pt idx="19">
                  <c:v>0.439</c:v>
                </c:pt>
                <c:pt idx="20">
                  <c:v>0.39300000000000002</c:v>
                </c:pt>
                <c:pt idx="21">
                  <c:v>0.36399999999999999</c:v>
                </c:pt>
                <c:pt idx="22">
                  <c:v>0.33600000000000002</c:v>
                </c:pt>
                <c:pt idx="23">
                  <c:v>0.20599999999999999</c:v>
                </c:pt>
              </c:numCache>
            </c:numRef>
          </c:val>
          <c:smooth val="0"/>
          <c:extLst>
            <c:ext xmlns:c16="http://schemas.microsoft.com/office/drawing/2014/chart" uri="{C3380CC4-5D6E-409C-BE32-E72D297353CC}">
              <c16:uniqueId val="{00000000-C200-4F0B-9240-950FCB2134A4}"/>
            </c:ext>
          </c:extLst>
        </c:ser>
        <c:ser>
          <c:idx val="1"/>
          <c:order val="1"/>
          <c:tx>
            <c:strRef>
              <c:f>Schedules!$E$95</c:f>
              <c:strCache>
                <c:ptCount val="1"/>
                <c:pt idx="0">
                  <c:v>Saturday</c:v>
                </c:pt>
              </c:strCache>
            </c:strRef>
          </c:tx>
          <c:spPr>
            <a:ln w="28575" cap="rnd">
              <a:solidFill>
                <a:schemeClr val="accent2"/>
              </a:solidFill>
              <a:round/>
            </a:ln>
            <a:effectLst/>
          </c:spPr>
          <c:marker>
            <c:symbol val="none"/>
          </c:marker>
          <c:val>
            <c:numRef>
              <c:f>Schedules!$F$95:$AC$95</c:f>
              <c:numCache>
                <c:formatCode>0.00</c:formatCode>
                <c:ptCount val="24"/>
                <c:pt idx="0">
                  <c:v>0.217</c:v>
                </c:pt>
                <c:pt idx="1">
                  <c:v>0.12</c:v>
                </c:pt>
                <c:pt idx="2">
                  <c:v>0.108</c:v>
                </c:pt>
                <c:pt idx="3">
                  <c:v>9.6000000000000002E-2</c:v>
                </c:pt>
                <c:pt idx="4">
                  <c:v>0.18099999999999999</c:v>
                </c:pt>
                <c:pt idx="5">
                  <c:v>0.27700000000000002</c:v>
                </c:pt>
                <c:pt idx="6">
                  <c:v>0.313</c:v>
                </c:pt>
                <c:pt idx="7">
                  <c:v>0.56599999999999995</c:v>
                </c:pt>
                <c:pt idx="8">
                  <c:v>0.92800000000000005</c:v>
                </c:pt>
                <c:pt idx="9">
                  <c:v>1</c:v>
                </c:pt>
                <c:pt idx="10">
                  <c:v>0.89200000000000002</c:v>
                </c:pt>
                <c:pt idx="11">
                  <c:v>0.73499999999999999</c:v>
                </c:pt>
                <c:pt idx="12">
                  <c:v>0.61399999999999999</c:v>
                </c:pt>
                <c:pt idx="13">
                  <c:v>0.51800000000000002</c:v>
                </c:pt>
                <c:pt idx="14">
                  <c:v>0.47</c:v>
                </c:pt>
                <c:pt idx="15">
                  <c:v>0.47</c:v>
                </c:pt>
                <c:pt idx="16">
                  <c:v>0.627</c:v>
                </c:pt>
                <c:pt idx="17">
                  <c:v>0.69899999999999995</c:v>
                </c:pt>
                <c:pt idx="18">
                  <c:v>0.67500000000000004</c:v>
                </c:pt>
                <c:pt idx="19">
                  <c:v>0.627</c:v>
                </c:pt>
                <c:pt idx="20">
                  <c:v>0.56599999999999995</c:v>
                </c:pt>
                <c:pt idx="21">
                  <c:v>0.53</c:v>
                </c:pt>
                <c:pt idx="22">
                  <c:v>0.48199999999999998</c:v>
                </c:pt>
                <c:pt idx="23">
                  <c:v>0.33700000000000002</c:v>
                </c:pt>
              </c:numCache>
            </c:numRef>
          </c:val>
          <c:smooth val="0"/>
          <c:extLst>
            <c:ext xmlns:c16="http://schemas.microsoft.com/office/drawing/2014/chart" uri="{C3380CC4-5D6E-409C-BE32-E72D297353CC}">
              <c16:uniqueId val="{00000001-C200-4F0B-9240-950FCB2134A4}"/>
            </c:ext>
          </c:extLst>
        </c:ser>
        <c:ser>
          <c:idx val="2"/>
          <c:order val="2"/>
          <c:tx>
            <c:strRef>
              <c:f>Schedules!$E$96</c:f>
              <c:strCache>
                <c:ptCount val="1"/>
                <c:pt idx="0">
                  <c:v>Sunday</c:v>
                </c:pt>
              </c:strCache>
            </c:strRef>
          </c:tx>
          <c:spPr>
            <a:ln w="28575" cap="rnd">
              <a:solidFill>
                <a:schemeClr val="accent3"/>
              </a:solidFill>
              <a:round/>
            </a:ln>
            <a:effectLst/>
          </c:spPr>
          <c:marker>
            <c:symbol val="none"/>
          </c:marker>
          <c:val>
            <c:numRef>
              <c:f>Schedules!$F$96:$AC$96</c:f>
              <c:numCache>
                <c:formatCode>0.00</c:formatCode>
                <c:ptCount val="24"/>
                <c:pt idx="0">
                  <c:v>0.217</c:v>
                </c:pt>
                <c:pt idx="1">
                  <c:v>0.12</c:v>
                </c:pt>
                <c:pt idx="2">
                  <c:v>0.108</c:v>
                </c:pt>
                <c:pt idx="3">
                  <c:v>9.6000000000000002E-2</c:v>
                </c:pt>
                <c:pt idx="4">
                  <c:v>0.18099999999999999</c:v>
                </c:pt>
                <c:pt idx="5">
                  <c:v>0.27700000000000002</c:v>
                </c:pt>
                <c:pt idx="6">
                  <c:v>0.313</c:v>
                </c:pt>
                <c:pt idx="7">
                  <c:v>0.56599999999999995</c:v>
                </c:pt>
                <c:pt idx="8">
                  <c:v>0.92800000000000005</c:v>
                </c:pt>
                <c:pt idx="9">
                  <c:v>1</c:v>
                </c:pt>
                <c:pt idx="10">
                  <c:v>0.89200000000000002</c:v>
                </c:pt>
                <c:pt idx="11">
                  <c:v>0.73499999999999999</c:v>
                </c:pt>
                <c:pt idx="12">
                  <c:v>0.61399999999999999</c:v>
                </c:pt>
                <c:pt idx="13">
                  <c:v>0.51800000000000002</c:v>
                </c:pt>
                <c:pt idx="14">
                  <c:v>0.47</c:v>
                </c:pt>
                <c:pt idx="15">
                  <c:v>0.47</c:v>
                </c:pt>
                <c:pt idx="16">
                  <c:v>0.627</c:v>
                </c:pt>
                <c:pt idx="17">
                  <c:v>0.69899999999999995</c:v>
                </c:pt>
                <c:pt idx="18">
                  <c:v>0.67500000000000004</c:v>
                </c:pt>
                <c:pt idx="19">
                  <c:v>0.627</c:v>
                </c:pt>
                <c:pt idx="20">
                  <c:v>0.56599999999999995</c:v>
                </c:pt>
                <c:pt idx="21">
                  <c:v>0.53</c:v>
                </c:pt>
                <c:pt idx="22">
                  <c:v>0.48199999999999998</c:v>
                </c:pt>
                <c:pt idx="23">
                  <c:v>0.33700000000000002</c:v>
                </c:pt>
              </c:numCache>
            </c:numRef>
          </c:val>
          <c:smooth val="0"/>
          <c:extLst>
            <c:ext xmlns:c16="http://schemas.microsoft.com/office/drawing/2014/chart" uri="{C3380CC4-5D6E-409C-BE32-E72D297353CC}">
              <c16:uniqueId val="{00000002-C200-4F0B-9240-950FCB2134A4}"/>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Schedules!$C$91</c:f>
          <c:strCache>
            <c:ptCount val="1"/>
            <c:pt idx="0">
              <c:v>HVACAvail</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Schedules!$E$91</c:f>
              <c:strCache>
                <c:ptCount val="1"/>
                <c:pt idx="0">
                  <c:v>Weekday</c:v>
                </c:pt>
              </c:strCache>
            </c:strRef>
          </c:tx>
          <c:spPr>
            <a:ln w="28575" cap="rnd">
              <a:solidFill>
                <a:schemeClr val="accent1"/>
              </a:solidFill>
              <a:round/>
            </a:ln>
            <a:effectLst/>
          </c:spPr>
          <c:marker>
            <c:symbol val="none"/>
          </c:marker>
          <c:val>
            <c:numRef>
              <c:f>Schedules!$F$91:$AC$91</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1901-475F-84D5-98EF48037E17}"/>
            </c:ext>
          </c:extLst>
        </c:ser>
        <c:ser>
          <c:idx val="1"/>
          <c:order val="1"/>
          <c:tx>
            <c:strRef>
              <c:f>Schedules!$E$92</c:f>
              <c:strCache>
                <c:ptCount val="1"/>
                <c:pt idx="0">
                  <c:v>Saturday</c:v>
                </c:pt>
              </c:strCache>
            </c:strRef>
          </c:tx>
          <c:spPr>
            <a:ln w="28575" cap="rnd">
              <a:solidFill>
                <a:schemeClr val="accent2"/>
              </a:solidFill>
              <a:round/>
            </a:ln>
            <a:effectLst/>
          </c:spPr>
          <c:marker>
            <c:symbol val="none"/>
          </c:marker>
          <c:val>
            <c:numRef>
              <c:f>Schedules!$F$92:$AC$92</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1901-475F-84D5-98EF48037E17}"/>
            </c:ext>
          </c:extLst>
        </c:ser>
        <c:ser>
          <c:idx val="2"/>
          <c:order val="2"/>
          <c:tx>
            <c:strRef>
              <c:f>Schedules!$E$93</c:f>
              <c:strCache>
                <c:ptCount val="1"/>
                <c:pt idx="0">
                  <c:v>Sunday</c:v>
                </c:pt>
              </c:strCache>
            </c:strRef>
          </c:tx>
          <c:spPr>
            <a:ln w="28575" cap="rnd">
              <a:solidFill>
                <a:schemeClr val="accent3"/>
              </a:solidFill>
              <a:round/>
            </a:ln>
            <a:effectLst/>
          </c:spPr>
          <c:marker>
            <c:symbol val="none"/>
          </c:marker>
          <c:val>
            <c:numRef>
              <c:f>Schedules!$F$93:$AC$93</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1901-475F-84D5-98EF48037E17}"/>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11006718935"/>
          <c:y val="0.3084356022809490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Schedules!$C$82</c:f>
          <c:strCache>
            <c:ptCount val="1"/>
            <c:pt idx="0">
              <c:v>Occupancy</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Schedules!$E$82</c:f>
              <c:strCache>
                <c:ptCount val="1"/>
                <c:pt idx="0">
                  <c:v>Weekday</c:v>
                </c:pt>
              </c:strCache>
            </c:strRef>
          </c:tx>
          <c:spPr>
            <a:ln w="28575" cap="rnd">
              <a:solidFill>
                <a:schemeClr val="accent1"/>
              </a:solidFill>
              <a:round/>
            </a:ln>
            <a:effectLst/>
          </c:spPr>
          <c:marker>
            <c:symbol val="none"/>
          </c:marker>
          <c:val>
            <c:numRef>
              <c:f>Schedules!$F$82:$AC$82</c:f>
              <c:numCache>
                <c:formatCode>0.00</c:formatCode>
                <c:ptCount val="24"/>
                <c:pt idx="0">
                  <c:v>0.9</c:v>
                </c:pt>
                <c:pt idx="1">
                  <c:v>0.9</c:v>
                </c:pt>
                <c:pt idx="2">
                  <c:v>0.9</c:v>
                </c:pt>
                <c:pt idx="3">
                  <c:v>0.9</c:v>
                </c:pt>
                <c:pt idx="4">
                  <c:v>0.9</c:v>
                </c:pt>
                <c:pt idx="5">
                  <c:v>0.9</c:v>
                </c:pt>
                <c:pt idx="6">
                  <c:v>0.7</c:v>
                </c:pt>
                <c:pt idx="7">
                  <c:v>0.4</c:v>
                </c:pt>
                <c:pt idx="8">
                  <c:v>0.4</c:v>
                </c:pt>
                <c:pt idx="9">
                  <c:v>0.2</c:v>
                </c:pt>
                <c:pt idx="10">
                  <c:v>0.2</c:v>
                </c:pt>
                <c:pt idx="11">
                  <c:v>0.2</c:v>
                </c:pt>
                <c:pt idx="12">
                  <c:v>0.2</c:v>
                </c:pt>
                <c:pt idx="13">
                  <c:v>0.2</c:v>
                </c:pt>
                <c:pt idx="14">
                  <c:v>0.2</c:v>
                </c:pt>
                <c:pt idx="15">
                  <c:v>0.3</c:v>
                </c:pt>
                <c:pt idx="16">
                  <c:v>0.5</c:v>
                </c:pt>
                <c:pt idx="17">
                  <c:v>0.5</c:v>
                </c:pt>
                <c:pt idx="18">
                  <c:v>0.5</c:v>
                </c:pt>
                <c:pt idx="19">
                  <c:v>0.7</c:v>
                </c:pt>
                <c:pt idx="20">
                  <c:v>0.7</c:v>
                </c:pt>
                <c:pt idx="21">
                  <c:v>0.8</c:v>
                </c:pt>
                <c:pt idx="22">
                  <c:v>0.9</c:v>
                </c:pt>
                <c:pt idx="23">
                  <c:v>0.9</c:v>
                </c:pt>
              </c:numCache>
            </c:numRef>
          </c:val>
          <c:smooth val="0"/>
          <c:extLst>
            <c:ext xmlns:c16="http://schemas.microsoft.com/office/drawing/2014/chart" uri="{C3380CC4-5D6E-409C-BE32-E72D297353CC}">
              <c16:uniqueId val="{00000000-86B3-4A5C-8AF0-19EC0B5D3C1E}"/>
            </c:ext>
          </c:extLst>
        </c:ser>
        <c:ser>
          <c:idx val="1"/>
          <c:order val="1"/>
          <c:tx>
            <c:strRef>
              <c:f>Schedules!$E$83</c:f>
              <c:strCache>
                <c:ptCount val="1"/>
                <c:pt idx="0">
                  <c:v>Saturday</c:v>
                </c:pt>
              </c:strCache>
            </c:strRef>
          </c:tx>
          <c:spPr>
            <a:ln w="28575" cap="rnd">
              <a:solidFill>
                <a:schemeClr val="accent2"/>
              </a:solidFill>
              <a:round/>
            </a:ln>
            <a:effectLst/>
          </c:spPr>
          <c:marker>
            <c:symbol val="none"/>
          </c:marker>
          <c:val>
            <c:numRef>
              <c:f>Schedules!$F$83:$AC$83</c:f>
              <c:numCache>
                <c:formatCode>0.00</c:formatCode>
                <c:ptCount val="24"/>
                <c:pt idx="0">
                  <c:v>0.9</c:v>
                </c:pt>
                <c:pt idx="1">
                  <c:v>0.9</c:v>
                </c:pt>
                <c:pt idx="2">
                  <c:v>0.9</c:v>
                </c:pt>
                <c:pt idx="3">
                  <c:v>0.9</c:v>
                </c:pt>
                <c:pt idx="4">
                  <c:v>0.9</c:v>
                </c:pt>
                <c:pt idx="5">
                  <c:v>0.9</c:v>
                </c:pt>
                <c:pt idx="6">
                  <c:v>0.7</c:v>
                </c:pt>
                <c:pt idx="7">
                  <c:v>0.4</c:v>
                </c:pt>
                <c:pt idx="8">
                  <c:v>0.4</c:v>
                </c:pt>
                <c:pt idx="9">
                  <c:v>0.2</c:v>
                </c:pt>
                <c:pt idx="10">
                  <c:v>0.2</c:v>
                </c:pt>
                <c:pt idx="11">
                  <c:v>0.2</c:v>
                </c:pt>
                <c:pt idx="12">
                  <c:v>0.2</c:v>
                </c:pt>
                <c:pt idx="13">
                  <c:v>0.2</c:v>
                </c:pt>
                <c:pt idx="14">
                  <c:v>0.2</c:v>
                </c:pt>
                <c:pt idx="15">
                  <c:v>0.3</c:v>
                </c:pt>
                <c:pt idx="16">
                  <c:v>0.5</c:v>
                </c:pt>
                <c:pt idx="17">
                  <c:v>0.5</c:v>
                </c:pt>
                <c:pt idx="18">
                  <c:v>0.5</c:v>
                </c:pt>
                <c:pt idx="19">
                  <c:v>0.7</c:v>
                </c:pt>
                <c:pt idx="20">
                  <c:v>0.7</c:v>
                </c:pt>
                <c:pt idx="21">
                  <c:v>0.8</c:v>
                </c:pt>
                <c:pt idx="22">
                  <c:v>0.9</c:v>
                </c:pt>
                <c:pt idx="23">
                  <c:v>0.9</c:v>
                </c:pt>
              </c:numCache>
            </c:numRef>
          </c:val>
          <c:smooth val="0"/>
          <c:extLst>
            <c:ext xmlns:c16="http://schemas.microsoft.com/office/drawing/2014/chart" uri="{C3380CC4-5D6E-409C-BE32-E72D297353CC}">
              <c16:uniqueId val="{00000001-86B3-4A5C-8AF0-19EC0B5D3C1E}"/>
            </c:ext>
          </c:extLst>
        </c:ser>
        <c:ser>
          <c:idx val="2"/>
          <c:order val="2"/>
          <c:tx>
            <c:strRef>
              <c:f>Schedules!$E$84</c:f>
              <c:strCache>
                <c:ptCount val="1"/>
                <c:pt idx="0">
                  <c:v>Sunday</c:v>
                </c:pt>
              </c:strCache>
            </c:strRef>
          </c:tx>
          <c:spPr>
            <a:ln w="28575" cap="rnd">
              <a:solidFill>
                <a:schemeClr val="accent3"/>
              </a:solidFill>
              <a:round/>
            </a:ln>
            <a:effectLst/>
          </c:spPr>
          <c:marker>
            <c:symbol val="none"/>
          </c:marker>
          <c:val>
            <c:numRef>
              <c:f>Schedules!$F$84:$AC$84</c:f>
              <c:numCache>
                <c:formatCode>0.00</c:formatCode>
                <c:ptCount val="24"/>
                <c:pt idx="0">
                  <c:v>0.9</c:v>
                </c:pt>
                <c:pt idx="1">
                  <c:v>0.9</c:v>
                </c:pt>
                <c:pt idx="2">
                  <c:v>0.9</c:v>
                </c:pt>
                <c:pt idx="3">
                  <c:v>0.9</c:v>
                </c:pt>
                <c:pt idx="4">
                  <c:v>0.9</c:v>
                </c:pt>
                <c:pt idx="5">
                  <c:v>0.9</c:v>
                </c:pt>
                <c:pt idx="6">
                  <c:v>0.7</c:v>
                </c:pt>
                <c:pt idx="7">
                  <c:v>0.4</c:v>
                </c:pt>
                <c:pt idx="8">
                  <c:v>0.4</c:v>
                </c:pt>
                <c:pt idx="9">
                  <c:v>0.2</c:v>
                </c:pt>
                <c:pt idx="10">
                  <c:v>0.2</c:v>
                </c:pt>
                <c:pt idx="11">
                  <c:v>0.2</c:v>
                </c:pt>
                <c:pt idx="12">
                  <c:v>0.2</c:v>
                </c:pt>
                <c:pt idx="13">
                  <c:v>0.2</c:v>
                </c:pt>
                <c:pt idx="14">
                  <c:v>0.2</c:v>
                </c:pt>
                <c:pt idx="15">
                  <c:v>0.3</c:v>
                </c:pt>
                <c:pt idx="16">
                  <c:v>0.5</c:v>
                </c:pt>
                <c:pt idx="17">
                  <c:v>0.5</c:v>
                </c:pt>
                <c:pt idx="18">
                  <c:v>0.5</c:v>
                </c:pt>
                <c:pt idx="19">
                  <c:v>0.7</c:v>
                </c:pt>
                <c:pt idx="20">
                  <c:v>0.7</c:v>
                </c:pt>
                <c:pt idx="21">
                  <c:v>0.8</c:v>
                </c:pt>
                <c:pt idx="22">
                  <c:v>0.9</c:v>
                </c:pt>
                <c:pt idx="23">
                  <c:v>0.9</c:v>
                </c:pt>
              </c:numCache>
            </c:numRef>
          </c:val>
          <c:smooth val="0"/>
          <c:extLst>
            <c:ext xmlns:c16="http://schemas.microsoft.com/office/drawing/2014/chart" uri="{C3380CC4-5D6E-409C-BE32-E72D297353CC}">
              <c16:uniqueId val="{00000002-86B3-4A5C-8AF0-19EC0B5D3C1E}"/>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Schedules!$C$88</c:f>
          <c:strCache>
            <c:ptCount val="1"/>
            <c:pt idx="0">
              <c:v>ElecEquipment</c:v>
            </c:pt>
          </c:strCache>
        </c:strRef>
      </c:tx>
      <c:layout>
        <c:manualLayout>
          <c:xMode val="edge"/>
          <c:yMode val="edge"/>
          <c:x val="0.33340220080653948"/>
          <c:y val="7.421264887399627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Schedules!$E$88</c:f>
              <c:strCache>
                <c:ptCount val="1"/>
                <c:pt idx="0">
                  <c:v>Weekday</c:v>
                </c:pt>
              </c:strCache>
            </c:strRef>
          </c:tx>
          <c:spPr>
            <a:ln w="28575" cap="rnd">
              <a:solidFill>
                <a:schemeClr val="accent1"/>
              </a:solidFill>
              <a:round/>
            </a:ln>
            <a:effectLst/>
          </c:spPr>
          <c:marker>
            <c:symbol val="none"/>
          </c:marker>
          <c:val>
            <c:numRef>
              <c:f>Schedules!$F$88:$AC$88</c:f>
              <c:numCache>
                <c:formatCode>0.00</c:formatCode>
                <c:ptCount val="24"/>
                <c:pt idx="0">
                  <c:v>0.1</c:v>
                </c:pt>
                <c:pt idx="1">
                  <c:v>0.1</c:v>
                </c:pt>
                <c:pt idx="2">
                  <c:v>0.1</c:v>
                </c:pt>
                <c:pt idx="3">
                  <c:v>0.1</c:v>
                </c:pt>
                <c:pt idx="4">
                  <c:v>0.1</c:v>
                </c:pt>
                <c:pt idx="5">
                  <c:v>0.3</c:v>
                </c:pt>
                <c:pt idx="6">
                  <c:v>0.45</c:v>
                </c:pt>
                <c:pt idx="7">
                  <c:v>0.45</c:v>
                </c:pt>
                <c:pt idx="8">
                  <c:v>0.45</c:v>
                </c:pt>
                <c:pt idx="9">
                  <c:v>0.45</c:v>
                </c:pt>
                <c:pt idx="10">
                  <c:v>0.2</c:v>
                </c:pt>
                <c:pt idx="11">
                  <c:v>0.2</c:v>
                </c:pt>
                <c:pt idx="12">
                  <c:v>0.2</c:v>
                </c:pt>
                <c:pt idx="13">
                  <c:v>0.2</c:v>
                </c:pt>
                <c:pt idx="14">
                  <c:v>0.2</c:v>
                </c:pt>
                <c:pt idx="15">
                  <c:v>0.2</c:v>
                </c:pt>
                <c:pt idx="16">
                  <c:v>0.2</c:v>
                </c:pt>
                <c:pt idx="17">
                  <c:v>0.2</c:v>
                </c:pt>
                <c:pt idx="18">
                  <c:v>0.4</c:v>
                </c:pt>
                <c:pt idx="19">
                  <c:v>0.5</c:v>
                </c:pt>
                <c:pt idx="20">
                  <c:v>0.6</c:v>
                </c:pt>
                <c:pt idx="21">
                  <c:v>0.5</c:v>
                </c:pt>
                <c:pt idx="22">
                  <c:v>0.4</c:v>
                </c:pt>
                <c:pt idx="23">
                  <c:v>0.25</c:v>
                </c:pt>
              </c:numCache>
            </c:numRef>
          </c:val>
          <c:smooth val="0"/>
          <c:extLst>
            <c:ext xmlns:c16="http://schemas.microsoft.com/office/drawing/2014/chart" uri="{C3380CC4-5D6E-409C-BE32-E72D297353CC}">
              <c16:uniqueId val="{00000000-1616-402B-B0C1-A11C62645525}"/>
            </c:ext>
          </c:extLst>
        </c:ser>
        <c:ser>
          <c:idx val="1"/>
          <c:order val="1"/>
          <c:tx>
            <c:strRef>
              <c:f>Schedules!$E$89</c:f>
              <c:strCache>
                <c:ptCount val="1"/>
                <c:pt idx="0">
                  <c:v>Saturday</c:v>
                </c:pt>
              </c:strCache>
            </c:strRef>
          </c:tx>
          <c:spPr>
            <a:ln w="28575" cap="rnd">
              <a:solidFill>
                <a:schemeClr val="accent2"/>
              </a:solidFill>
              <a:round/>
            </a:ln>
            <a:effectLst/>
          </c:spPr>
          <c:marker>
            <c:symbol val="none"/>
          </c:marker>
          <c:val>
            <c:numRef>
              <c:f>Schedules!$F$89:$AC$89</c:f>
              <c:numCache>
                <c:formatCode>0.00</c:formatCode>
                <c:ptCount val="24"/>
                <c:pt idx="0">
                  <c:v>0.1</c:v>
                </c:pt>
                <c:pt idx="1">
                  <c:v>0.1</c:v>
                </c:pt>
                <c:pt idx="2">
                  <c:v>0.1</c:v>
                </c:pt>
                <c:pt idx="3">
                  <c:v>0.1</c:v>
                </c:pt>
                <c:pt idx="4">
                  <c:v>0.1</c:v>
                </c:pt>
                <c:pt idx="5">
                  <c:v>0.3</c:v>
                </c:pt>
                <c:pt idx="6">
                  <c:v>0.45</c:v>
                </c:pt>
                <c:pt idx="7">
                  <c:v>0.45</c:v>
                </c:pt>
                <c:pt idx="8">
                  <c:v>0.45</c:v>
                </c:pt>
                <c:pt idx="9">
                  <c:v>0.45</c:v>
                </c:pt>
                <c:pt idx="10">
                  <c:v>0.2</c:v>
                </c:pt>
                <c:pt idx="11">
                  <c:v>0.2</c:v>
                </c:pt>
                <c:pt idx="12">
                  <c:v>0.2</c:v>
                </c:pt>
                <c:pt idx="13">
                  <c:v>0.2</c:v>
                </c:pt>
                <c:pt idx="14">
                  <c:v>0.2</c:v>
                </c:pt>
                <c:pt idx="15">
                  <c:v>0.2</c:v>
                </c:pt>
                <c:pt idx="16">
                  <c:v>0.2</c:v>
                </c:pt>
                <c:pt idx="17">
                  <c:v>0.2</c:v>
                </c:pt>
                <c:pt idx="18">
                  <c:v>0.4</c:v>
                </c:pt>
                <c:pt idx="19">
                  <c:v>0.5</c:v>
                </c:pt>
                <c:pt idx="20">
                  <c:v>0.6</c:v>
                </c:pt>
                <c:pt idx="21">
                  <c:v>0.5</c:v>
                </c:pt>
                <c:pt idx="22">
                  <c:v>0.4</c:v>
                </c:pt>
                <c:pt idx="23">
                  <c:v>0.25</c:v>
                </c:pt>
              </c:numCache>
            </c:numRef>
          </c:val>
          <c:smooth val="0"/>
          <c:extLst>
            <c:ext xmlns:c16="http://schemas.microsoft.com/office/drawing/2014/chart" uri="{C3380CC4-5D6E-409C-BE32-E72D297353CC}">
              <c16:uniqueId val="{00000001-1616-402B-B0C1-A11C62645525}"/>
            </c:ext>
          </c:extLst>
        </c:ser>
        <c:ser>
          <c:idx val="2"/>
          <c:order val="2"/>
          <c:tx>
            <c:strRef>
              <c:f>Schedules!$E$90</c:f>
              <c:strCache>
                <c:ptCount val="1"/>
                <c:pt idx="0">
                  <c:v>Sunday</c:v>
                </c:pt>
              </c:strCache>
            </c:strRef>
          </c:tx>
          <c:spPr>
            <a:ln w="28575" cap="rnd">
              <a:solidFill>
                <a:schemeClr val="accent3"/>
              </a:solidFill>
              <a:round/>
            </a:ln>
            <a:effectLst/>
          </c:spPr>
          <c:marker>
            <c:symbol val="none"/>
          </c:marker>
          <c:val>
            <c:numRef>
              <c:f>Schedules!$F$90:$AC$90</c:f>
              <c:numCache>
                <c:formatCode>0.00</c:formatCode>
                <c:ptCount val="24"/>
                <c:pt idx="0">
                  <c:v>0.1</c:v>
                </c:pt>
                <c:pt idx="1">
                  <c:v>0.1</c:v>
                </c:pt>
                <c:pt idx="2">
                  <c:v>0.1</c:v>
                </c:pt>
                <c:pt idx="3">
                  <c:v>0.1</c:v>
                </c:pt>
                <c:pt idx="4">
                  <c:v>0.1</c:v>
                </c:pt>
                <c:pt idx="5">
                  <c:v>0.3</c:v>
                </c:pt>
                <c:pt idx="6">
                  <c:v>0.45</c:v>
                </c:pt>
                <c:pt idx="7">
                  <c:v>0.45</c:v>
                </c:pt>
                <c:pt idx="8">
                  <c:v>0.45</c:v>
                </c:pt>
                <c:pt idx="9">
                  <c:v>0.45</c:v>
                </c:pt>
                <c:pt idx="10">
                  <c:v>0.2</c:v>
                </c:pt>
                <c:pt idx="11">
                  <c:v>0.2</c:v>
                </c:pt>
                <c:pt idx="12">
                  <c:v>0.2</c:v>
                </c:pt>
                <c:pt idx="13">
                  <c:v>0.2</c:v>
                </c:pt>
                <c:pt idx="14">
                  <c:v>0.2</c:v>
                </c:pt>
                <c:pt idx="15">
                  <c:v>0.2</c:v>
                </c:pt>
                <c:pt idx="16">
                  <c:v>0.2</c:v>
                </c:pt>
                <c:pt idx="17">
                  <c:v>0.2</c:v>
                </c:pt>
                <c:pt idx="18">
                  <c:v>0.4</c:v>
                </c:pt>
                <c:pt idx="19">
                  <c:v>0.5</c:v>
                </c:pt>
                <c:pt idx="20">
                  <c:v>0.6</c:v>
                </c:pt>
                <c:pt idx="21">
                  <c:v>0.5</c:v>
                </c:pt>
                <c:pt idx="22">
                  <c:v>0.4</c:v>
                </c:pt>
                <c:pt idx="23">
                  <c:v>0.25</c:v>
                </c:pt>
              </c:numCache>
            </c:numRef>
          </c:val>
          <c:smooth val="0"/>
          <c:extLst>
            <c:ext xmlns:c16="http://schemas.microsoft.com/office/drawing/2014/chart" uri="{C3380CC4-5D6E-409C-BE32-E72D297353CC}">
              <c16:uniqueId val="{00000002-1616-402B-B0C1-A11C6264552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Schedules!$C$97</c:f>
          <c:strCache>
            <c:ptCount val="1"/>
            <c:pt idx="0">
              <c:v>Infiltration</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Schedules!$E$97</c:f>
              <c:strCache>
                <c:ptCount val="1"/>
                <c:pt idx="0">
                  <c:v>Weekday</c:v>
                </c:pt>
              </c:strCache>
            </c:strRef>
          </c:tx>
          <c:spPr>
            <a:ln w="28575" cap="rnd">
              <a:solidFill>
                <a:schemeClr val="accent1"/>
              </a:solidFill>
              <a:round/>
            </a:ln>
            <a:effectLst/>
          </c:spPr>
          <c:marker>
            <c:symbol val="none"/>
          </c:marker>
          <c:val>
            <c:numRef>
              <c:f>Schedules!$F$97:$AC$97</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9152-4732-B20E-855AD75030B3}"/>
            </c:ext>
          </c:extLst>
        </c:ser>
        <c:ser>
          <c:idx val="1"/>
          <c:order val="1"/>
          <c:tx>
            <c:strRef>
              <c:f>Schedules!$E$98</c:f>
              <c:strCache>
                <c:ptCount val="1"/>
                <c:pt idx="0">
                  <c:v>Saturday</c:v>
                </c:pt>
              </c:strCache>
            </c:strRef>
          </c:tx>
          <c:spPr>
            <a:ln w="28575" cap="rnd">
              <a:solidFill>
                <a:schemeClr val="accent2"/>
              </a:solidFill>
              <a:round/>
            </a:ln>
            <a:effectLst/>
          </c:spPr>
          <c:marker>
            <c:symbol val="none"/>
          </c:marker>
          <c:val>
            <c:numRef>
              <c:f>Schedules!$F$98:$AC$98</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9152-4732-B20E-855AD75030B3}"/>
            </c:ext>
          </c:extLst>
        </c:ser>
        <c:ser>
          <c:idx val="2"/>
          <c:order val="2"/>
          <c:tx>
            <c:strRef>
              <c:f>Schedules!$E$99</c:f>
              <c:strCache>
                <c:ptCount val="1"/>
                <c:pt idx="0">
                  <c:v>Sunday</c:v>
                </c:pt>
              </c:strCache>
            </c:strRef>
          </c:tx>
          <c:spPr>
            <a:ln w="28575" cap="rnd">
              <a:solidFill>
                <a:schemeClr val="accent3"/>
              </a:solidFill>
              <a:round/>
            </a:ln>
            <a:effectLst/>
          </c:spPr>
          <c:marker>
            <c:symbol val="none"/>
          </c:marker>
          <c:val>
            <c:numRef>
              <c:f>Schedules!$F$99:$AC$99</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9152-4732-B20E-855AD75030B3}"/>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11006718935"/>
          <c:y val="0.3140390784485273"/>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sz="1000" b="1" i="0" u="none" strike="noStrike" kern="1200" spc="0" baseline="0">
                <a:solidFill>
                  <a:sysClr val="windowText" lastClr="000000"/>
                </a:solidFill>
                <a:latin typeface="Arial" panose="020B0604020202020204" pitchFamily="34" charset="0"/>
                <a:cs typeface="Arial" panose="020B0604020202020204" pitchFamily="34" charset="0"/>
              </a:rPr>
              <a:t>Assembly Elevator</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0-727A-4770-8D97-CD022D6A4B94}"/>
            </c:ext>
          </c:extLst>
        </c:ser>
        <c:ser>
          <c:idx val="1"/>
          <c:order val="1"/>
          <c:spPr>
            <a:ln w="28575" cap="rnd">
              <a:solidFill>
                <a:schemeClr val="accent2"/>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1-727A-4770-8D97-CD022D6A4B94}"/>
            </c:ext>
          </c:extLst>
        </c:ser>
        <c:ser>
          <c:idx val="2"/>
          <c:order val="2"/>
          <c:spPr>
            <a:ln w="28575" cap="rnd">
              <a:solidFill>
                <a:schemeClr val="accent3"/>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2-727A-4770-8D97-CD022D6A4B94}"/>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Schedules!$C$32</c:f>
          <c:strCache>
            <c:ptCount val="1"/>
            <c:pt idx="0">
              <c:v>Lights</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Schedules!$E$32</c:f>
              <c:strCache>
                <c:ptCount val="1"/>
                <c:pt idx="0">
                  <c:v>Weekday</c:v>
                </c:pt>
              </c:strCache>
            </c:strRef>
          </c:tx>
          <c:spPr>
            <a:ln w="28575" cap="rnd">
              <a:solidFill>
                <a:schemeClr val="accent1"/>
              </a:solidFill>
              <a:round/>
            </a:ln>
            <a:effectLst/>
          </c:spPr>
          <c:marker>
            <c:symbol val="none"/>
          </c:marker>
          <c:val>
            <c:numRef>
              <c:f>Schedules!$F$32:$AC$32</c:f>
              <c:numCache>
                <c:formatCode>0.00</c:formatCode>
                <c:ptCount val="24"/>
                <c:pt idx="0">
                  <c:v>0.05</c:v>
                </c:pt>
                <c:pt idx="1">
                  <c:v>0.05</c:v>
                </c:pt>
                <c:pt idx="2">
                  <c:v>0.05</c:v>
                </c:pt>
                <c:pt idx="3">
                  <c:v>0.05</c:v>
                </c:pt>
                <c:pt idx="4">
                  <c:v>0.05</c:v>
                </c:pt>
                <c:pt idx="5">
                  <c:v>0.05</c:v>
                </c:pt>
                <c:pt idx="6">
                  <c:v>0.35</c:v>
                </c:pt>
                <c:pt idx="7">
                  <c:v>0.35</c:v>
                </c:pt>
                <c:pt idx="8">
                  <c:v>0.35</c:v>
                </c:pt>
                <c:pt idx="9">
                  <c:v>0.65</c:v>
                </c:pt>
                <c:pt idx="10">
                  <c:v>0.65</c:v>
                </c:pt>
                <c:pt idx="11">
                  <c:v>0.65</c:v>
                </c:pt>
                <c:pt idx="12">
                  <c:v>0.65</c:v>
                </c:pt>
                <c:pt idx="13">
                  <c:v>0.65</c:v>
                </c:pt>
                <c:pt idx="14">
                  <c:v>0.65</c:v>
                </c:pt>
                <c:pt idx="15">
                  <c:v>0.65</c:v>
                </c:pt>
                <c:pt idx="16">
                  <c:v>0.65</c:v>
                </c:pt>
                <c:pt idx="17">
                  <c:v>0.65</c:v>
                </c:pt>
                <c:pt idx="18">
                  <c:v>0.65</c:v>
                </c:pt>
                <c:pt idx="19">
                  <c:v>0.65</c:v>
                </c:pt>
                <c:pt idx="20">
                  <c:v>0.65</c:v>
                </c:pt>
                <c:pt idx="21">
                  <c:v>0.65</c:v>
                </c:pt>
                <c:pt idx="22">
                  <c:v>0.25</c:v>
                </c:pt>
                <c:pt idx="23">
                  <c:v>0.05</c:v>
                </c:pt>
              </c:numCache>
            </c:numRef>
          </c:val>
          <c:smooth val="0"/>
          <c:extLst>
            <c:ext xmlns:c16="http://schemas.microsoft.com/office/drawing/2014/chart" uri="{C3380CC4-5D6E-409C-BE32-E72D297353CC}">
              <c16:uniqueId val="{00000000-5ED3-4941-8080-3783F3668DDA}"/>
            </c:ext>
          </c:extLst>
        </c:ser>
        <c:ser>
          <c:idx val="1"/>
          <c:order val="1"/>
          <c:tx>
            <c:strRef>
              <c:f>Schedules!$E$33</c:f>
              <c:strCache>
                <c:ptCount val="1"/>
                <c:pt idx="0">
                  <c:v>Saturday</c:v>
                </c:pt>
              </c:strCache>
            </c:strRef>
          </c:tx>
          <c:spPr>
            <a:ln w="28575" cap="rnd">
              <a:solidFill>
                <a:schemeClr val="accent2"/>
              </a:solidFill>
              <a:round/>
            </a:ln>
            <a:effectLst/>
          </c:spPr>
          <c:marker>
            <c:symbol val="none"/>
          </c:marker>
          <c:val>
            <c:numRef>
              <c:f>Schedules!$F$33:$AC$33</c:f>
              <c:numCache>
                <c:formatCode>0.00</c:formatCode>
                <c:ptCount val="24"/>
                <c:pt idx="0">
                  <c:v>0.05</c:v>
                </c:pt>
                <c:pt idx="1">
                  <c:v>0.05</c:v>
                </c:pt>
                <c:pt idx="2">
                  <c:v>0.05</c:v>
                </c:pt>
                <c:pt idx="3">
                  <c:v>0.05</c:v>
                </c:pt>
                <c:pt idx="4">
                  <c:v>0.05</c:v>
                </c:pt>
                <c:pt idx="5">
                  <c:v>0.05</c:v>
                </c:pt>
                <c:pt idx="6">
                  <c:v>0.05</c:v>
                </c:pt>
                <c:pt idx="7">
                  <c:v>0.3</c:v>
                </c:pt>
                <c:pt idx="8">
                  <c:v>0.3</c:v>
                </c:pt>
                <c:pt idx="9">
                  <c:v>0.4</c:v>
                </c:pt>
                <c:pt idx="10">
                  <c:v>0.4</c:v>
                </c:pt>
                <c:pt idx="11">
                  <c:v>0.4</c:v>
                </c:pt>
                <c:pt idx="12">
                  <c:v>0.4</c:v>
                </c:pt>
                <c:pt idx="13">
                  <c:v>0.4</c:v>
                </c:pt>
                <c:pt idx="14">
                  <c:v>0.4</c:v>
                </c:pt>
                <c:pt idx="15">
                  <c:v>0.4</c:v>
                </c:pt>
                <c:pt idx="16">
                  <c:v>0.4</c:v>
                </c:pt>
                <c:pt idx="17">
                  <c:v>0.4</c:v>
                </c:pt>
                <c:pt idx="18">
                  <c:v>0.4</c:v>
                </c:pt>
                <c:pt idx="19">
                  <c:v>0.4</c:v>
                </c:pt>
                <c:pt idx="20">
                  <c:v>0.4</c:v>
                </c:pt>
                <c:pt idx="21">
                  <c:v>0.4</c:v>
                </c:pt>
                <c:pt idx="22">
                  <c:v>0.4</c:v>
                </c:pt>
                <c:pt idx="23">
                  <c:v>0.05</c:v>
                </c:pt>
              </c:numCache>
            </c:numRef>
          </c:val>
          <c:smooth val="0"/>
          <c:extLst>
            <c:ext xmlns:c16="http://schemas.microsoft.com/office/drawing/2014/chart" uri="{C3380CC4-5D6E-409C-BE32-E72D297353CC}">
              <c16:uniqueId val="{00000001-5ED3-4941-8080-3783F3668DDA}"/>
            </c:ext>
          </c:extLst>
        </c:ser>
        <c:ser>
          <c:idx val="2"/>
          <c:order val="2"/>
          <c:tx>
            <c:strRef>
              <c:f>Schedules!$E$34</c:f>
              <c:strCache>
                <c:ptCount val="1"/>
                <c:pt idx="0">
                  <c:v>Sunday</c:v>
                </c:pt>
              </c:strCache>
            </c:strRef>
          </c:tx>
          <c:spPr>
            <a:ln w="28575" cap="rnd">
              <a:solidFill>
                <a:schemeClr val="accent3"/>
              </a:solidFill>
              <a:round/>
            </a:ln>
            <a:effectLst/>
          </c:spPr>
          <c:marker>
            <c:symbol val="none"/>
          </c:marker>
          <c:val>
            <c:numRef>
              <c:f>Schedules!$F$34:$AC$34</c:f>
              <c:numCache>
                <c:formatCode>0.00</c:formatCode>
                <c:ptCount val="24"/>
                <c:pt idx="0">
                  <c:v>0.05</c:v>
                </c:pt>
                <c:pt idx="1">
                  <c:v>0.05</c:v>
                </c:pt>
                <c:pt idx="2">
                  <c:v>0.05</c:v>
                </c:pt>
                <c:pt idx="3">
                  <c:v>0.05</c:v>
                </c:pt>
                <c:pt idx="4">
                  <c:v>0.05</c:v>
                </c:pt>
                <c:pt idx="5">
                  <c:v>0.05</c:v>
                </c:pt>
                <c:pt idx="6">
                  <c:v>0.05</c:v>
                </c:pt>
                <c:pt idx="7">
                  <c:v>0.3</c:v>
                </c:pt>
                <c:pt idx="8">
                  <c:v>0.3</c:v>
                </c:pt>
                <c:pt idx="9">
                  <c:v>0.3</c:v>
                </c:pt>
                <c:pt idx="10">
                  <c:v>0.3</c:v>
                </c:pt>
                <c:pt idx="11">
                  <c:v>0.3</c:v>
                </c:pt>
                <c:pt idx="12">
                  <c:v>0.55000000000000004</c:v>
                </c:pt>
                <c:pt idx="13">
                  <c:v>0.55000000000000004</c:v>
                </c:pt>
                <c:pt idx="14">
                  <c:v>0.55000000000000004</c:v>
                </c:pt>
                <c:pt idx="15">
                  <c:v>0.55000000000000004</c:v>
                </c:pt>
                <c:pt idx="16">
                  <c:v>0.55000000000000004</c:v>
                </c:pt>
                <c:pt idx="17">
                  <c:v>0.55000000000000004</c:v>
                </c:pt>
                <c:pt idx="18">
                  <c:v>0.55000000000000004</c:v>
                </c:pt>
                <c:pt idx="19">
                  <c:v>0.55000000000000004</c:v>
                </c:pt>
                <c:pt idx="20">
                  <c:v>0.55000000000000004</c:v>
                </c:pt>
                <c:pt idx="21">
                  <c:v>0.55000000000000004</c:v>
                </c:pt>
                <c:pt idx="22">
                  <c:v>0.05</c:v>
                </c:pt>
                <c:pt idx="23">
                  <c:v>0.05</c:v>
                </c:pt>
              </c:numCache>
            </c:numRef>
          </c:val>
          <c:smooth val="0"/>
          <c:extLst>
            <c:ext xmlns:c16="http://schemas.microsoft.com/office/drawing/2014/chart" uri="{C3380CC4-5D6E-409C-BE32-E72D297353CC}">
              <c16:uniqueId val="{00000002-5ED3-4941-8080-3783F3668DDA}"/>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Schedules!$C$219</c:f>
          <c:strCache>
            <c:ptCount val="1"/>
            <c:pt idx="0">
              <c:v>Elevator</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Schedules!$E$219</c:f>
              <c:strCache>
                <c:ptCount val="1"/>
                <c:pt idx="0">
                  <c:v>Weekday</c:v>
                </c:pt>
              </c:strCache>
            </c:strRef>
          </c:tx>
          <c:spPr>
            <a:ln w="28575" cap="rnd">
              <a:solidFill>
                <a:schemeClr val="accent1"/>
              </a:solidFill>
              <a:round/>
            </a:ln>
            <a:effectLst/>
          </c:spPr>
          <c:marker>
            <c:symbol val="none"/>
          </c:marker>
          <c:val>
            <c:numRef>
              <c:f>Schedules!$F$219:$AC$219</c:f>
              <c:numCache>
                <c:formatCode>0.00</c:formatCode>
                <c:ptCount val="24"/>
                <c:pt idx="0">
                  <c:v>0.12</c:v>
                </c:pt>
                <c:pt idx="1">
                  <c:v>0.12</c:v>
                </c:pt>
                <c:pt idx="2">
                  <c:v>0.12</c:v>
                </c:pt>
                <c:pt idx="3">
                  <c:v>0.12</c:v>
                </c:pt>
                <c:pt idx="4">
                  <c:v>0.12</c:v>
                </c:pt>
                <c:pt idx="5">
                  <c:v>0.2</c:v>
                </c:pt>
                <c:pt idx="6">
                  <c:v>0.4</c:v>
                </c:pt>
                <c:pt idx="7">
                  <c:v>0.5</c:v>
                </c:pt>
                <c:pt idx="8">
                  <c:v>0.5</c:v>
                </c:pt>
                <c:pt idx="9">
                  <c:v>0.35</c:v>
                </c:pt>
                <c:pt idx="10">
                  <c:v>0.15</c:v>
                </c:pt>
                <c:pt idx="11">
                  <c:v>0.15</c:v>
                </c:pt>
                <c:pt idx="12">
                  <c:v>0.15</c:v>
                </c:pt>
                <c:pt idx="13">
                  <c:v>0.15</c:v>
                </c:pt>
                <c:pt idx="14">
                  <c:v>0.15</c:v>
                </c:pt>
                <c:pt idx="15">
                  <c:v>0.15</c:v>
                </c:pt>
                <c:pt idx="16">
                  <c:v>0.35</c:v>
                </c:pt>
                <c:pt idx="17">
                  <c:v>0.5</c:v>
                </c:pt>
                <c:pt idx="18">
                  <c:v>0.5</c:v>
                </c:pt>
                <c:pt idx="19">
                  <c:v>0.4</c:v>
                </c:pt>
                <c:pt idx="20">
                  <c:v>0.4</c:v>
                </c:pt>
                <c:pt idx="21">
                  <c:v>0.3</c:v>
                </c:pt>
                <c:pt idx="22">
                  <c:v>0.2</c:v>
                </c:pt>
                <c:pt idx="23">
                  <c:v>0.12</c:v>
                </c:pt>
              </c:numCache>
            </c:numRef>
          </c:val>
          <c:smooth val="0"/>
          <c:extLst>
            <c:ext xmlns:c16="http://schemas.microsoft.com/office/drawing/2014/chart" uri="{C3380CC4-5D6E-409C-BE32-E72D297353CC}">
              <c16:uniqueId val="{00000000-41CA-44B1-B8D3-C51F51EDCEF3}"/>
            </c:ext>
          </c:extLst>
        </c:ser>
        <c:ser>
          <c:idx val="1"/>
          <c:order val="1"/>
          <c:tx>
            <c:strRef>
              <c:f>Schedules!$E$220</c:f>
              <c:strCache>
                <c:ptCount val="1"/>
                <c:pt idx="0">
                  <c:v>Saturday</c:v>
                </c:pt>
              </c:strCache>
            </c:strRef>
          </c:tx>
          <c:spPr>
            <a:ln w="28575" cap="rnd">
              <a:solidFill>
                <a:schemeClr val="accent2"/>
              </a:solidFill>
              <a:round/>
            </a:ln>
            <a:effectLst/>
          </c:spPr>
          <c:marker>
            <c:symbol val="none"/>
          </c:marker>
          <c:val>
            <c:numRef>
              <c:f>Schedules!$F$220:$AC$220</c:f>
              <c:numCache>
                <c:formatCode>0.00</c:formatCode>
                <c:ptCount val="24"/>
                <c:pt idx="0">
                  <c:v>0.12</c:v>
                </c:pt>
                <c:pt idx="1">
                  <c:v>0.12</c:v>
                </c:pt>
                <c:pt idx="2">
                  <c:v>0.12</c:v>
                </c:pt>
                <c:pt idx="3">
                  <c:v>0.12</c:v>
                </c:pt>
                <c:pt idx="4">
                  <c:v>0.12</c:v>
                </c:pt>
                <c:pt idx="5">
                  <c:v>0.2</c:v>
                </c:pt>
                <c:pt idx="6">
                  <c:v>0.4</c:v>
                </c:pt>
                <c:pt idx="7">
                  <c:v>0.5</c:v>
                </c:pt>
                <c:pt idx="8">
                  <c:v>0.5</c:v>
                </c:pt>
                <c:pt idx="9">
                  <c:v>0.35</c:v>
                </c:pt>
                <c:pt idx="10">
                  <c:v>0.15</c:v>
                </c:pt>
                <c:pt idx="11">
                  <c:v>0.15</c:v>
                </c:pt>
                <c:pt idx="12">
                  <c:v>0.15</c:v>
                </c:pt>
                <c:pt idx="13">
                  <c:v>0.15</c:v>
                </c:pt>
                <c:pt idx="14">
                  <c:v>0.15</c:v>
                </c:pt>
                <c:pt idx="15">
                  <c:v>0.15</c:v>
                </c:pt>
                <c:pt idx="16">
                  <c:v>0.35</c:v>
                </c:pt>
                <c:pt idx="17">
                  <c:v>0.5</c:v>
                </c:pt>
                <c:pt idx="18">
                  <c:v>0.5</c:v>
                </c:pt>
                <c:pt idx="19">
                  <c:v>0.4</c:v>
                </c:pt>
                <c:pt idx="20">
                  <c:v>0.4</c:v>
                </c:pt>
                <c:pt idx="21">
                  <c:v>0.3</c:v>
                </c:pt>
                <c:pt idx="22">
                  <c:v>0.2</c:v>
                </c:pt>
                <c:pt idx="23">
                  <c:v>0.12</c:v>
                </c:pt>
              </c:numCache>
            </c:numRef>
          </c:val>
          <c:smooth val="0"/>
          <c:extLst>
            <c:ext xmlns:c16="http://schemas.microsoft.com/office/drawing/2014/chart" uri="{C3380CC4-5D6E-409C-BE32-E72D297353CC}">
              <c16:uniqueId val="{00000001-41CA-44B1-B8D3-C51F51EDCEF3}"/>
            </c:ext>
          </c:extLst>
        </c:ser>
        <c:ser>
          <c:idx val="2"/>
          <c:order val="2"/>
          <c:tx>
            <c:strRef>
              <c:f>Schedules!$E$221</c:f>
              <c:strCache>
                <c:ptCount val="1"/>
                <c:pt idx="0">
                  <c:v>Sunday</c:v>
                </c:pt>
              </c:strCache>
            </c:strRef>
          </c:tx>
          <c:spPr>
            <a:ln w="28575" cap="rnd">
              <a:solidFill>
                <a:schemeClr val="accent3"/>
              </a:solidFill>
              <a:round/>
            </a:ln>
            <a:effectLst/>
          </c:spPr>
          <c:marker>
            <c:symbol val="none"/>
          </c:marker>
          <c:val>
            <c:numRef>
              <c:f>Schedules!$F$221:$AC$221</c:f>
              <c:numCache>
                <c:formatCode>0.00</c:formatCode>
                <c:ptCount val="24"/>
                <c:pt idx="0">
                  <c:v>0.12</c:v>
                </c:pt>
                <c:pt idx="1">
                  <c:v>0.12</c:v>
                </c:pt>
                <c:pt idx="2">
                  <c:v>0.12</c:v>
                </c:pt>
                <c:pt idx="3">
                  <c:v>0.12</c:v>
                </c:pt>
                <c:pt idx="4">
                  <c:v>0.12</c:v>
                </c:pt>
                <c:pt idx="5">
                  <c:v>0.2</c:v>
                </c:pt>
                <c:pt idx="6">
                  <c:v>0.4</c:v>
                </c:pt>
                <c:pt idx="7">
                  <c:v>0.5</c:v>
                </c:pt>
                <c:pt idx="8">
                  <c:v>0.5</c:v>
                </c:pt>
                <c:pt idx="9">
                  <c:v>0.35</c:v>
                </c:pt>
                <c:pt idx="10">
                  <c:v>0.15</c:v>
                </c:pt>
                <c:pt idx="11">
                  <c:v>0.15</c:v>
                </c:pt>
                <c:pt idx="12">
                  <c:v>0.15</c:v>
                </c:pt>
                <c:pt idx="13">
                  <c:v>0.15</c:v>
                </c:pt>
                <c:pt idx="14">
                  <c:v>0.15</c:v>
                </c:pt>
                <c:pt idx="15">
                  <c:v>0.15</c:v>
                </c:pt>
                <c:pt idx="16">
                  <c:v>0.35</c:v>
                </c:pt>
                <c:pt idx="17">
                  <c:v>0.5</c:v>
                </c:pt>
                <c:pt idx="18">
                  <c:v>0.5</c:v>
                </c:pt>
                <c:pt idx="19">
                  <c:v>0.4</c:v>
                </c:pt>
                <c:pt idx="20">
                  <c:v>0.4</c:v>
                </c:pt>
                <c:pt idx="21">
                  <c:v>0.3</c:v>
                </c:pt>
                <c:pt idx="22">
                  <c:v>0.2</c:v>
                </c:pt>
                <c:pt idx="23">
                  <c:v>0.12</c:v>
                </c:pt>
              </c:numCache>
            </c:numRef>
          </c:val>
          <c:smooth val="0"/>
          <c:extLst>
            <c:ext xmlns:c16="http://schemas.microsoft.com/office/drawing/2014/chart" uri="{C3380CC4-5D6E-409C-BE32-E72D297353CC}">
              <c16:uniqueId val="{00000002-41CA-44B1-B8D3-C51F51EDCEF3}"/>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Schedules!$C$35</c:f>
          <c:strCache>
            <c:ptCount val="1"/>
            <c:pt idx="0">
              <c:v>ElecEquipment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Schedules!$E$35</c:f>
              <c:strCache>
                <c:ptCount val="1"/>
                <c:pt idx="0">
                  <c:v>Weekday</c:v>
                </c:pt>
              </c:strCache>
            </c:strRef>
          </c:tx>
          <c:spPr>
            <a:ln w="28575" cap="rnd">
              <a:solidFill>
                <a:schemeClr val="accent1"/>
              </a:solidFill>
              <a:round/>
            </a:ln>
            <a:effectLst/>
          </c:spPr>
          <c:marker>
            <c:symbol val="none"/>
          </c:marker>
          <c:val>
            <c:numRef>
              <c:f>Schedules!$F$35:$AC$35</c:f>
              <c:numCache>
                <c:formatCode>0.00</c:formatCode>
                <c:ptCount val="24"/>
                <c:pt idx="0">
                  <c:v>0.05</c:v>
                </c:pt>
                <c:pt idx="1">
                  <c:v>0.05</c:v>
                </c:pt>
                <c:pt idx="2">
                  <c:v>0.05</c:v>
                </c:pt>
                <c:pt idx="3">
                  <c:v>0.05</c:v>
                </c:pt>
                <c:pt idx="4">
                  <c:v>0.05</c:v>
                </c:pt>
                <c:pt idx="5">
                  <c:v>0.05</c:v>
                </c:pt>
                <c:pt idx="6">
                  <c:v>0.4</c:v>
                </c:pt>
                <c:pt idx="7">
                  <c:v>0.4</c:v>
                </c:pt>
                <c:pt idx="8">
                  <c:v>0.4</c:v>
                </c:pt>
                <c:pt idx="9">
                  <c:v>0.75</c:v>
                </c:pt>
                <c:pt idx="10">
                  <c:v>0.75</c:v>
                </c:pt>
                <c:pt idx="11">
                  <c:v>0.75</c:v>
                </c:pt>
                <c:pt idx="12">
                  <c:v>0.75</c:v>
                </c:pt>
                <c:pt idx="13">
                  <c:v>0.75</c:v>
                </c:pt>
                <c:pt idx="14">
                  <c:v>0.75</c:v>
                </c:pt>
                <c:pt idx="15">
                  <c:v>0.75</c:v>
                </c:pt>
                <c:pt idx="16">
                  <c:v>0.75</c:v>
                </c:pt>
                <c:pt idx="17">
                  <c:v>0.75</c:v>
                </c:pt>
                <c:pt idx="18">
                  <c:v>0.75</c:v>
                </c:pt>
                <c:pt idx="19">
                  <c:v>0.75</c:v>
                </c:pt>
                <c:pt idx="20">
                  <c:v>0.75</c:v>
                </c:pt>
                <c:pt idx="21">
                  <c:v>0.75</c:v>
                </c:pt>
                <c:pt idx="22">
                  <c:v>0.25</c:v>
                </c:pt>
                <c:pt idx="23">
                  <c:v>0.05</c:v>
                </c:pt>
              </c:numCache>
            </c:numRef>
          </c:val>
          <c:smooth val="0"/>
          <c:extLst>
            <c:ext xmlns:c16="http://schemas.microsoft.com/office/drawing/2014/chart" uri="{C3380CC4-5D6E-409C-BE32-E72D297353CC}">
              <c16:uniqueId val="{00000000-283D-420E-BE1E-09270BE0707C}"/>
            </c:ext>
          </c:extLst>
        </c:ser>
        <c:ser>
          <c:idx val="1"/>
          <c:order val="1"/>
          <c:tx>
            <c:strRef>
              <c:f>Schedules!$E$36</c:f>
              <c:strCache>
                <c:ptCount val="1"/>
                <c:pt idx="0">
                  <c:v>Saturday</c:v>
                </c:pt>
              </c:strCache>
            </c:strRef>
          </c:tx>
          <c:spPr>
            <a:ln w="28575" cap="rnd">
              <a:solidFill>
                <a:schemeClr val="accent2"/>
              </a:solidFill>
              <a:round/>
            </a:ln>
            <a:effectLst/>
          </c:spPr>
          <c:marker>
            <c:symbol val="none"/>
          </c:marker>
          <c:val>
            <c:numRef>
              <c:f>Schedules!$F$36:$AC$36</c:f>
              <c:numCache>
                <c:formatCode>0.00</c:formatCode>
                <c:ptCount val="24"/>
                <c:pt idx="0">
                  <c:v>0.05</c:v>
                </c:pt>
                <c:pt idx="1">
                  <c:v>0.05</c:v>
                </c:pt>
                <c:pt idx="2">
                  <c:v>0.05</c:v>
                </c:pt>
                <c:pt idx="3">
                  <c:v>0.05</c:v>
                </c:pt>
                <c:pt idx="4">
                  <c:v>0.05</c:v>
                </c:pt>
                <c:pt idx="5">
                  <c:v>0.05</c:v>
                </c:pt>
                <c:pt idx="6">
                  <c:v>0.05</c:v>
                </c:pt>
                <c:pt idx="7">
                  <c:v>0.3</c:v>
                </c:pt>
                <c:pt idx="8">
                  <c:v>0.3</c:v>
                </c:pt>
                <c:pt idx="9">
                  <c:v>0.5</c:v>
                </c:pt>
                <c:pt idx="10">
                  <c:v>0.5</c:v>
                </c:pt>
                <c:pt idx="11">
                  <c:v>0.5</c:v>
                </c:pt>
                <c:pt idx="12">
                  <c:v>0.5</c:v>
                </c:pt>
                <c:pt idx="13">
                  <c:v>0.5</c:v>
                </c:pt>
                <c:pt idx="14">
                  <c:v>0.5</c:v>
                </c:pt>
                <c:pt idx="15">
                  <c:v>0.5</c:v>
                </c:pt>
                <c:pt idx="16">
                  <c:v>0.5</c:v>
                </c:pt>
                <c:pt idx="17">
                  <c:v>0.5</c:v>
                </c:pt>
                <c:pt idx="18">
                  <c:v>0.5</c:v>
                </c:pt>
                <c:pt idx="19">
                  <c:v>0.5</c:v>
                </c:pt>
                <c:pt idx="20">
                  <c:v>0.5</c:v>
                </c:pt>
                <c:pt idx="21">
                  <c:v>0.5</c:v>
                </c:pt>
                <c:pt idx="22">
                  <c:v>0.5</c:v>
                </c:pt>
                <c:pt idx="23">
                  <c:v>0.05</c:v>
                </c:pt>
              </c:numCache>
            </c:numRef>
          </c:val>
          <c:smooth val="0"/>
          <c:extLst>
            <c:ext xmlns:c16="http://schemas.microsoft.com/office/drawing/2014/chart" uri="{C3380CC4-5D6E-409C-BE32-E72D297353CC}">
              <c16:uniqueId val="{00000001-283D-420E-BE1E-09270BE0707C}"/>
            </c:ext>
          </c:extLst>
        </c:ser>
        <c:ser>
          <c:idx val="2"/>
          <c:order val="2"/>
          <c:tx>
            <c:strRef>
              <c:f>Schedules!$E$37</c:f>
              <c:strCache>
                <c:ptCount val="1"/>
                <c:pt idx="0">
                  <c:v>Sunday</c:v>
                </c:pt>
              </c:strCache>
            </c:strRef>
          </c:tx>
          <c:spPr>
            <a:ln w="28575" cap="rnd">
              <a:solidFill>
                <a:schemeClr val="accent3"/>
              </a:solidFill>
              <a:round/>
            </a:ln>
            <a:effectLst/>
          </c:spPr>
          <c:marker>
            <c:symbol val="none"/>
          </c:marker>
          <c:val>
            <c:numRef>
              <c:f>Schedules!$F$37:$AC$37</c:f>
              <c:numCache>
                <c:formatCode>0.00</c:formatCode>
                <c:ptCount val="24"/>
                <c:pt idx="0">
                  <c:v>0.05</c:v>
                </c:pt>
                <c:pt idx="1">
                  <c:v>0.05</c:v>
                </c:pt>
                <c:pt idx="2">
                  <c:v>0.05</c:v>
                </c:pt>
                <c:pt idx="3">
                  <c:v>0.05</c:v>
                </c:pt>
                <c:pt idx="4">
                  <c:v>0.05</c:v>
                </c:pt>
                <c:pt idx="5">
                  <c:v>0.05</c:v>
                </c:pt>
                <c:pt idx="6">
                  <c:v>0.05</c:v>
                </c:pt>
                <c:pt idx="7">
                  <c:v>0.3</c:v>
                </c:pt>
                <c:pt idx="8">
                  <c:v>0.3</c:v>
                </c:pt>
                <c:pt idx="9">
                  <c:v>0.3</c:v>
                </c:pt>
                <c:pt idx="10">
                  <c:v>0.3</c:v>
                </c:pt>
                <c:pt idx="11">
                  <c:v>0.3</c:v>
                </c:pt>
                <c:pt idx="12">
                  <c:v>0.65</c:v>
                </c:pt>
                <c:pt idx="13">
                  <c:v>0.65</c:v>
                </c:pt>
                <c:pt idx="14">
                  <c:v>0.65</c:v>
                </c:pt>
                <c:pt idx="15">
                  <c:v>0.65</c:v>
                </c:pt>
                <c:pt idx="16">
                  <c:v>0.65</c:v>
                </c:pt>
                <c:pt idx="17">
                  <c:v>0.65</c:v>
                </c:pt>
                <c:pt idx="18">
                  <c:v>0.65</c:v>
                </c:pt>
                <c:pt idx="19">
                  <c:v>0.65</c:v>
                </c:pt>
                <c:pt idx="20">
                  <c:v>0.65</c:v>
                </c:pt>
                <c:pt idx="21">
                  <c:v>0.65</c:v>
                </c:pt>
                <c:pt idx="22">
                  <c:v>0.05</c:v>
                </c:pt>
                <c:pt idx="23">
                  <c:v>0.05</c:v>
                </c:pt>
              </c:numCache>
            </c:numRef>
          </c:val>
          <c:smooth val="0"/>
          <c:extLst>
            <c:ext xmlns:c16="http://schemas.microsoft.com/office/drawing/2014/chart" uri="{C3380CC4-5D6E-409C-BE32-E72D297353CC}">
              <c16:uniqueId val="{00000002-283D-420E-BE1E-09270BE0707C}"/>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Schedules!$C$50</c:f>
          <c:strCache>
            <c:ptCount val="1"/>
            <c:pt idx="0">
              <c:v>HtgSetpt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Schedules!$E$50</c:f>
              <c:strCache>
                <c:ptCount val="1"/>
                <c:pt idx="0">
                  <c:v>Weekday</c:v>
                </c:pt>
              </c:strCache>
            </c:strRef>
          </c:tx>
          <c:spPr>
            <a:ln w="28575" cap="rnd">
              <a:solidFill>
                <a:schemeClr val="accent1"/>
              </a:solidFill>
              <a:round/>
            </a:ln>
            <a:effectLst/>
          </c:spPr>
          <c:marker>
            <c:symbol val="none"/>
          </c:marker>
          <c:val>
            <c:numRef>
              <c:f>Schedules!$F$50:$AC$50</c:f>
              <c:numCache>
                <c:formatCode>General</c:formatCode>
                <c:ptCount val="24"/>
                <c:pt idx="0">
                  <c:v>60</c:v>
                </c:pt>
                <c:pt idx="1">
                  <c:v>60</c:v>
                </c:pt>
                <c:pt idx="2">
                  <c:v>60</c:v>
                </c:pt>
                <c:pt idx="3">
                  <c:v>60</c:v>
                </c:pt>
                <c:pt idx="4">
                  <c:v>60</c:v>
                </c:pt>
                <c:pt idx="5">
                  <c:v>60</c:v>
                </c:pt>
                <c:pt idx="6">
                  <c:v>60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60</c:v>
                </c:pt>
              </c:numCache>
            </c:numRef>
          </c:val>
          <c:smooth val="0"/>
          <c:extLst>
            <c:ext xmlns:c16="http://schemas.microsoft.com/office/drawing/2014/chart" uri="{C3380CC4-5D6E-409C-BE32-E72D297353CC}">
              <c16:uniqueId val="{00000000-0DFE-469E-9668-0D72A2376D53}"/>
            </c:ext>
          </c:extLst>
        </c:ser>
        <c:ser>
          <c:idx val="1"/>
          <c:order val="1"/>
          <c:tx>
            <c:strRef>
              <c:f>Schedules!$E$51</c:f>
              <c:strCache>
                <c:ptCount val="1"/>
                <c:pt idx="0">
                  <c:v>Saturday</c:v>
                </c:pt>
              </c:strCache>
            </c:strRef>
          </c:tx>
          <c:spPr>
            <a:ln w="28575" cap="rnd">
              <a:solidFill>
                <a:schemeClr val="accent2"/>
              </a:solidFill>
              <a:round/>
            </a:ln>
            <a:effectLst/>
          </c:spPr>
          <c:marker>
            <c:symbol val="none"/>
          </c:marker>
          <c:val>
            <c:numRef>
              <c:f>Schedules!$F$51:$AC$51</c:f>
              <c:numCache>
                <c:formatCode>General</c:formatCode>
                <c:ptCount val="24"/>
                <c:pt idx="0">
                  <c:v>60</c:v>
                </c:pt>
                <c:pt idx="1">
                  <c:v>60</c:v>
                </c:pt>
                <c:pt idx="2">
                  <c:v>60</c:v>
                </c:pt>
                <c:pt idx="3">
                  <c:v>60</c:v>
                </c:pt>
                <c:pt idx="4">
                  <c:v>60</c:v>
                </c:pt>
                <c:pt idx="5">
                  <c:v>60</c:v>
                </c:pt>
                <c:pt idx="6">
                  <c:v>60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60</c:v>
                </c:pt>
              </c:numCache>
            </c:numRef>
          </c:val>
          <c:smooth val="0"/>
          <c:extLst>
            <c:ext xmlns:c16="http://schemas.microsoft.com/office/drawing/2014/chart" uri="{C3380CC4-5D6E-409C-BE32-E72D297353CC}">
              <c16:uniqueId val="{00000001-0DFE-469E-9668-0D72A2376D53}"/>
            </c:ext>
          </c:extLst>
        </c:ser>
        <c:ser>
          <c:idx val="2"/>
          <c:order val="2"/>
          <c:tx>
            <c:strRef>
              <c:f>Schedules!$E$52</c:f>
              <c:strCache>
                <c:ptCount val="1"/>
                <c:pt idx="0">
                  <c:v>Sunday</c:v>
                </c:pt>
              </c:strCache>
            </c:strRef>
          </c:tx>
          <c:spPr>
            <a:ln w="28575" cap="rnd">
              <a:solidFill>
                <a:schemeClr val="accent3"/>
              </a:solidFill>
              <a:round/>
            </a:ln>
            <a:effectLst/>
          </c:spPr>
          <c:marker>
            <c:symbol val="none"/>
          </c:marker>
          <c:val>
            <c:numRef>
              <c:f>Schedules!$F$52:$AC$52</c:f>
              <c:numCache>
                <c:formatCode>General</c:formatCode>
                <c:ptCount val="24"/>
                <c:pt idx="0">
                  <c:v>60</c:v>
                </c:pt>
                <c:pt idx="1">
                  <c:v>60</c:v>
                </c:pt>
                <c:pt idx="2">
                  <c:v>60</c:v>
                </c:pt>
                <c:pt idx="3">
                  <c:v>60</c:v>
                </c:pt>
                <c:pt idx="4">
                  <c:v>60</c:v>
                </c:pt>
                <c:pt idx="5">
                  <c:v>60</c:v>
                </c:pt>
                <c:pt idx="6">
                  <c:v>60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60</c:v>
                </c:pt>
              </c:numCache>
            </c:numRef>
          </c:val>
          <c:smooth val="0"/>
          <c:extLst>
            <c:ext xmlns:c16="http://schemas.microsoft.com/office/drawing/2014/chart" uri="{C3380CC4-5D6E-409C-BE32-E72D297353CC}">
              <c16:uniqueId val="{00000002-0DFE-469E-9668-0D72A2376D53}"/>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80"/>
          <c:min val="5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5"/>
        <c:minorUnit val="2"/>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Schedules!$C$53</c:f>
          <c:strCache>
            <c:ptCount val="1"/>
            <c:pt idx="0">
              <c:v>ClgSetpt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Schedules!$E$53</c:f>
              <c:strCache>
                <c:ptCount val="1"/>
                <c:pt idx="0">
                  <c:v>Weekday</c:v>
                </c:pt>
              </c:strCache>
            </c:strRef>
          </c:tx>
          <c:spPr>
            <a:ln w="28575" cap="rnd">
              <a:solidFill>
                <a:schemeClr val="accent1"/>
              </a:solidFill>
              <a:round/>
            </a:ln>
            <a:effectLst/>
          </c:spPr>
          <c:marker>
            <c:symbol val="none"/>
          </c:marker>
          <c:val>
            <c:numRef>
              <c:f>Schedules!$F$53:$AC$53</c:f>
              <c:numCache>
                <c:formatCode>General</c:formatCode>
                <c:ptCount val="24"/>
                <c:pt idx="0">
                  <c:v>85</c:v>
                </c:pt>
                <c:pt idx="1">
                  <c:v>85</c:v>
                </c:pt>
                <c:pt idx="2">
                  <c:v>85</c:v>
                </c:pt>
                <c:pt idx="3">
                  <c:v>85</c:v>
                </c:pt>
                <c:pt idx="4">
                  <c:v>85</c:v>
                </c:pt>
                <c:pt idx="5">
                  <c:v>85</c:v>
                </c:pt>
                <c:pt idx="6">
                  <c:v>85</c:v>
                </c:pt>
                <c:pt idx="7">
                  <c:v>75</c:v>
                </c:pt>
                <c:pt idx="8">
                  <c:v>75</c:v>
                </c:pt>
                <c:pt idx="9">
                  <c:v>75</c:v>
                </c:pt>
                <c:pt idx="10">
                  <c:v>75</c:v>
                </c:pt>
                <c:pt idx="11">
                  <c:v>75</c:v>
                </c:pt>
                <c:pt idx="12">
                  <c:v>75</c:v>
                </c:pt>
                <c:pt idx="13">
                  <c:v>75</c:v>
                </c:pt>
                <c:pt idx="14">
                  <c:v>75</c:v>
                </c:pt>
                <c:pt idx="15">
                  <c:v>75</c:v>
                </c:pt>
                <c:pt idx="16">
                  <c:v>75</c:v>
                </c:pt>
                <c:pt idx="17">
                  <c:v>75</c:v>
                </c:pt>
                <c:pt idx="18">
                  <c:v>75</c:v>
                </c:pt>
                <c:pt idx="19">
                  <c:v>75</c:v>
                </c:pt>
                <c:pt idx="20">
                  <c:v>75</c:v>
                </c:pt>
                <c:pt idx="21">
                  <c:v>75</c:v>
                </c:pt>
                <c:pt idx="22">
                  <c:v>75</c:v>
                </c:pt>
                <c:pt idx="23">
                  <c:v>85</c:v>
                </c:pt>
              </c:numCache>
            </c:numRef>
          </c:val>
          <c:smooth val="0"/>
          <c:extLst>
            <c:ext xmlns:c16="http://schemas.microsoft.com/office/drawing/2014/chart" uri="{C3380CC4-5D6E-409C-BE32-E72D297353CC}">
              <c16:uniqueId val="{00000000-A745-47B8-8247-9B958687D800}"/>
            </c:ext>
          </c:extLst>
        </c:ser>
        <c:ser>
          <c:idx val="1"/>
          <c:order val="1"/>
          <c:tx>
            <c:strRef>
              <c:f>Schedules!$E$54</c:f>
              <c:strCache>
                <c:ptCount val="1"/>
                <c:pt idx="0">
                  <c:v>Saturday</c:v>
                </c:pt>
              </c:strCache>
            </c:strRef>
          </c:tx>
          <c:spPr>
            <a:ln w="28575" cap="rnd">
              <a:solidFill>
                <a:schemeClr val="accent2"/>
              </a:solidFill>
              <a:round/>
            </a:ln>
            <a:effectLst/>
          </c:spPr>
          <c:marker>
            <c:symbol val="none"/>
          </c:marker>
          <c:val>
            <c:numRef>
              <c:f>Schedules!$F$54:$AC$54</c:f>
              <c:numCache>
                <c:formatCode>General</c:formatCode>
                <c:ptCount val="24"/>
                <c:pt idx="0">
                  <c:v>85</c:v>
                </c:pt>
                <c:pt idx="1">
                  <c:v>85</c:v>
                </c:pt>
                <c:pt idx="2">
                  <c:v>85</c:v>
                </c:pt>
                <c:pt idx="3">
                  <c:v>85</c:v>
                </c:pt>
                <c:pt idx="4">
                  <c:v>85</c:v>
                </c:pt>
                <c:pt idx="5">
                  <c:v>85</c:v>
                </c:pt>
                <c:pt idx="6">
                  <c:v>85</c:v>
                </c:pt>
                <c:pt idx="7">
                  <c:v>75</c:v>
                </c:pt>
                <c:pt idx="8">
                  <c:v>75</c:v>
                </c:pt>
                <c:pt idx="9">
                  <c:v>75</c:v>
                </c:pt>
                <c:pt idx="10">
                  <c:v>75</c:v>
                </c:pt>
                <c:pt idx="11">
                  <c:v>75</c:v>
                </c:pt>
                <c:pt idx="12">
                  <c:v>75</c:v>
                </c:pt>
                <c:pt idx="13">
                  <c:v>75</c:v>
                </c:pt>
                <c:pt idx="14">
                  <c:v>75</c:v>
                </c:pt>
                <c:pt idx="15">
                  <c:v>75</c:v>
                </c:pt>
                <c:pt idx="16">
                  <c:v>75</c:v>
                </c:pt>
                <c:pt idx="17">
                  <c:v>75</c:v>
                </c:pt>
                <c:pt idx="18">
                  <c:v>75</c:v>
                </c:pt>
                <c:pt idx="19">
                  <c:v>75</c:v>
                </c:pt>
                <c:pt idx="20">
                  <c:v>75</c:v>
                </c:pt>
                <c:pt idx="21">
                  <c:v>75</c:v>
                </c:pt>
                <c:pt idx="22">
                  <c:v>75</c:v>
                </c:pt>
                <c:pt idx="23">
                  <c:v>85</c:v>
                </c:pt>
              </c:numCache>
            </c:numRef>
          </c:val>
          <c:smooth val="0"/>
          <c:extLst>
            <c:ext xmlns:c16="http://schemas.microsoft.com/office/drawing/2014/chart" uri="{C3380CC4-5D6E-409C-BE32-E72D297353CC}">
              <c16:uniqueId val="{00000001-A745-47B8-8247-9B958687D800}"/>
            </c:ext>
          </c:extLst>
        </c:ser>
        <c:ser>
          <c:idx val="2"/>
          <c:order val="2"/>
          <c:tx>
            <c:strRef>
              <c:f>Schedules!$E$55</c:f>
              <c:strCache>
                <c:ptCount val="1"/>
                <c:pt idx="0">
                  <c:v>Sunday</c:v>
                </c:pt>
              </c:strCache>
            </c:strRef>
          </c:tx>
          <c:spPr>
            <a:ln w="28575" cap="rnd">
              <a:solidFill>
                <a:schemeClr val="accent3"/>
              </a:solidFill>
              <a:round/>
            </a:ln>
            <a:effectLst/>
          </c:spPr>
          <c:marker>
            <c:symbol val="none"/>
          </c:marker>
          <c:val>
            <c:numRef>
              <c:f>Schedules!$F$55:$AC$55</c:f>
              <c:numCache>
                <c:formatCode>General</c:formatCode>
                <c:ptCount val="24"/>
                <c:pt idx="0">
                  <c:v>85</c:v>
                </c:pt>
                <c:pt idx="1">
                  <c:v>85</c:v>
                </c:pt>
                <c:pt idx="2">
                  <c:v>85</c:v>
                </c:pt>
                <c:pt idx="3">
                  <c:v>85</c:v>
                </c:pt>
                <c:pt idx="4">
                  <c:v>85</c:v>
                </c:pt>
                <c:pt idx="5">
                  <c:v>85</c:v>
                </c:pt>
                <c:pt idx="6">
                  <c:v>85</c:v>
                </c:pt>
                <c:pt idx="7">
                  <c:v>75</c:v>
                </c:pt>
                <c:pt idx="8">
                  <c:v>75</c:v>
                </c:pt>
                <c:pt idx="9">
                  <c:v>75</c:v>
                </c:pt>
                <c:pt idx="10">
                  <c:v>75</c:v>
                </c:pt>
                <c:pt idx="11">
                  <c:v>75</c:v>
                </c:pt>
                <c:pt idx="12">
                  <c:v>75</c:v>
                </c:pt>
                <c:pt idx="13">
                  <c:v>75</c:v>
                </c:pt>
                <c:pt idx="14">
                  <c:v>75</c:v>
                </c:pt>
                <c:pt idx="15">
                  <c:v>75</c:v>
                </c:pt>
                <c:pt idx="16">
                  <c:v>75</c:v>
                </c:pt>
                <c:pt idx="17">
                  <c:v>75</c:v>
                </c:pt>
                <c:pt idx="18">
                  <c:v>75</c:v>
                </c:pt>
                <c:pt idx="19">
                  <c:v>75</c:v>
                </c:pt>
                <c:pt idx="20">
                  <c:v>75</c:v>
                </c:pt>
                <c:pt idx="21">
                  <c:v>75</c:v>
                </c:pt>
                <c:pt idx="22">
                  <c:v>75</c:v>
                </c:pt>
                <c:pt idx="23">
                  <c:v>85</c:v>
                </c:pt>
              </c:numCache>
            </c:numRef>
          </c:val>
          <c:smooth val="0"/>
          <c:extLst>
            <c:ext xmlns:c16="http://schemas.microsoft.com/office/drawing/2014/chart" uri="{C3380CC4-5D6E-409C-BE32-E72D297353CC}">
              <c16:uniqueId val="{00000002-A745-47B8-8247-9B958687D800}"/>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00"/>
          <c:min val="6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10"/>
        <c:minorUnit val="2"/>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Schedules!$C$100</c:f>
          <c:strCache>
            <c:ptCount val="1"/>
            <c:pt idx="0">
              <c:v>HtgSetpt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Schedules!$E$100</c:f>
              <c:strCache>
                <c:ptCount val="1"/>
                <c:pt idx="0">
                  <c:v>Weekday</c:v>
                </c:pt>
              </c:strCache>
            </c:strRef>
          </c:tx>
          <c:spPr>
            <a:ln w="28575" cap="rnd">
              <a:solidFill>
                <a:schemeClr val="accent1"/>
              </a:solidFill>
              <a:round/>
            </a:ln>
            <a:effectLst/>
          </c:spPr>
          <c:marker>
            <c:symbol val="none"/>
          </c:marker>
          <c:val>
            <c:numRef>
              <c:f>Schedules!$F$100:$AC$100</c:f>
              <c:numCache>
                <c:formatCode>0</c:formatCode>
                <c:ptCount val="24"/>
                <c:pt idx="0">
                  <c:v>70</c:v>
                </c:pt>
                <c:pt idx="1">
                  <c:v>70</c:v>
                </c:pt>
                <c:pt idx="2">
                  <c:v>70</c:v>
                </c:pt>
                <c:pt idx="3">
                  <c:v>70</c:v>
                </c:pt>
                <c:pt idx="4">
                  <c:v>70</c:v>
                </c:pt>
                <c:pt idx="5">
                  <c:v>70</c:v>
                </c:pt>
                <c:pt idx="6">
                  <c:v>70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70</c:v>
                </c:pt>
              </c:numCache>
            </c:numRef>
          </c:val>
          <c:smooth val="0"/>
          <c:extLst>
            <c:ext xmlns:c16="http://schemas.microsoft.com/office/drawing/2014/chart" uri="{C3380CC4-5D6E-409C-BE32-E72D297353CC}">
              <c16:uniqueId val="{00000000-A3AF-4E2D-A219-E7A5C0191057}"/>
            </c:ext>
          </c:extLst>
        </c:ser>
        <c:ser>
          <c:idx val="1"/>
          <c:order val="1"/>
          <c:tx>
            <c:strRef>
              <c:f>Schedules!$E$101</c:f>
              <c:strCache>
                <c:ptCount val="1"/>
                <c:pt idx="0">
                  <c:v>Saturday</c:v>
                </c:pt>
              </c:strCache>
            </c:strRef>
          </c:tx>
          <c:spPr>
            <a:ln w="28575" cap="rnd">
              <a:solidFill>
                <a:schemeClr val="accent2"/>
              </a:solidFill>
              <a:round/>
            </a:ln>
            <a:effectLst/>
          </c:spPr>
          <c:marker>
            <c:symbol val="none"/>
          </c:marker>
          <c:val>
            <c:numRef>
              <c:f>Schedules!$F$101:$AC$101</c:f>
              <c:numCache>
                <c:formatCode>0</c:formatCode>
                <c:ptCount val="24"/>
                <c:pt idx="0">
                  <c:v>70</c:v>
                </c:pt>
                <c:pt idx="1">
                  <c:v>70</c:v>
                </c:pt>
                <c:pt idx="2">
                  <c:v>70</c:v>
                </c:pt>
                <c:pt idx="3">
                  <c:v>70</c:v>
                </c:pt>
                <c:pt idx="4">
                  <c:v>70</c:v>
                </c:pt>
                <c:pt idx="5">
                  <c:v>70</c:v>
                </c:pt>
                <c:pt idx="6">
                  <c:v>70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70</c:v>
                </c:pt>
              </c:numCache>
            </c:numRef>
          </c:val>
          <c:smooth val="0"/>
          <c:extLst>
            <c:ext xmlns:c16="http://schemas.microsoft.com/office/drawing/2014/chart" uri="{C3380CC4-5D6E-409C-BE32-E72D297353CC}">
              <c16:uniqueId val="{00000001-A3AF-4E2D-A219-E7A5C0191057}"/>
            </c:ext>
          </c:extLst>
        </c:ser>
        <c:ser>
          <c:idx val="2"/>
          <c:order val="2"/>
          <c:tx>
            <c:strRef>
              <c:f>Schedules!$E$102</c:f>
              <c:strCache>
                <c:ptCount val="1"/>
                <c:pt idx="0">
                  <c:v>Sunday</c:v>
                </c:pt>
              </c:strCache>
            </c:strRef>
          </c:tx>
          <c:spPr>
            <a:ln w="28575" cap="rnd">
              <a:solidFill>
                <a:schemeClr val="accent3"/>
              </a:solidFill>
              <a:round/>
            </a:ln>
            <a:effectLst/>
          </c:spPr>
          <c:marker>
            <c:symbol val="none"/>
          </c:marker>
          <c:val>
            <c:numRef>
              <c:f>Schedules!$F$102:$AC$102</c:f>
              <c:numCache>
                <c:formatCode>0</c:formatCode>
                <c:ptCount val="24"/>
                <c:pt idx="0">
                  <c:v>70</c:v>
                </c:pt>
                <c:pt idx="1">
                  <c:v>70</c:v>
                </c:pt>
                <c:pt idx="2">
                  <c:v>70</c:v>
                </c:pt>
                <c:pt idx="3">
                  <c:v>70</c:v>
                </c:pt>
                <c:pt idx="4">
                  <c:v>70</c:v>
                </c:pt>
                <c:pt idx="5">
                  <c:v>70</c:v>
                </c:pt>
                <c:pt idx="6">
                  <c:v>70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70</c:v>
                </c:pt>
              </c:numCache>
            </c:numRef>
          </c:val>
          <c:smooth val="0"/>
          <c:extLst>
            <c:ext xmlns:c16="http://schemas.microsoft.com/office/drawing/2014/chart" uri="{C3380CC4-5D6E-409C-BE32-E72D297353CC}">
              <c16:uniqueId val="{00000002-A3AF-4E2D-A219-E7A5C0191057}"/>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80"/>
          <c:min val="6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5"/>
        <c:minorUnit val="2"/>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Schedules!$C$103</c:f>
          <c:strCache>
            <c:ptCount val="1"/>
            <c:pt idx="0">
              <c:v>ClgSetpt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Schedules!$F$103:$AC$103</c:f>
              <c:numCache>
                <c:formatCode>0</c:formatCode>
                <c:ptCount val="24"/>
                <c:pt idx="0">
                  <c:v>72</c:v>
                </c:pt>
                <c:pt idx="1">
                  <c:v>72</c:v>
                </c:pt>
                <c:pt idx="2">
                  <c:v>72</c:v>
                </c:pt>
                <c:pt idx="3">
                  <c:v>72</c:v>
                </c:pt>
                <c:pt idx="4">
                  <c:v>72</c:v>
                </c:pt>
                <c:pt idx="5">
                  <c:v>72</c:v>
                </c:pt>
                <c:pt idx="6">
                  <c:v>72</c:v>
                </c:pt>
                <c:pt idx="7">
                  <c:v>72</c:v>
                </c:pt>
                <c:pt idx="8">
                  <c:v>72</c:v>
                </c:pt>
                <c:pt idx="9">
                  <c:v>72</c:v>
                </c:pt>
                <c:pt idx="10">
                  <c:v>72</c:v>
                </c:pt>
                <c:pt idx="11">
                  <c:v>72</c:v>
                </c:pt>
                <c:pt idx="12">
                  <c:v>72</c:v>
                </c:pt>
                <c:pt idx="13">
                  <c:v>72</c:v>
                </c:pt>
                <c:pt idx="14">
                  <c:v>72</c:v>
                </c:pt>
                <c:pt idx="15">
                  <c:v>72</c:v>
                </c:pt>
                <c:pt idx="16">
                  <c:v>72</c:v>
                </c:pt>
                <c:pt idx="17">
                  <c:v>72</c:v>
                </c:pt>
                <c:pt idx="18">
                  <c:v>72</c:v>
                </c:pt>
                <c:pt idx="19">
                  <c:v>72</c:v>
                </c:pt>
                <c:pt idx="20">
                  <c:v>72</c:v>
                </c:pt>
                <c:pt idx="21">
                  <c:v>72</c:v>
                </c:pt>
                <c:pt idx="22">
                  <c:v>72</c:v>
                </c:pt>
                <c:pt idx="23">
                  <c:v>72</c:v>
                </c:pt>
              </c:numCache>
            </c:numRef>
          </c:val>
          <c:smooth val="0"/>
          <c:extLst>
            <c:ext xmlns:c16="http://schemas.microsoft.com/office/drawing/2014/chart" uri="{C3380CC4-5D6E-409C-BE32-E72D297353CC}">
              <c16:uniqueId val="{00000000-5AA3-4EA2-B281-19B148F2D9DC}"/>
            </c:ext>
          </c:extLst>
        </c:ser>
        <c:ser>
          <c:idx val="1"/>
          <c:order val="1"/>
          <c:spPr>
            <a:ln w="28575" cap="rnd">
              <a:solidFill>
                <a:schemeClr val="accent2"/>
              </a:solidFill>
              <a:round/>
            </a:ln>
            <a:effectLst/>
          </c:spPr>
          <c:marker>
            <c:symbol val="none"/>
          </c:marker>
          <c:val>
            <c:numRef>
              <c:f>Schedules!$F$104:$AC$104</c:f>
              <c:numCache>
                <c:formatCode>0</c:formatCode>
                <c:ptCount val="24"/>
                <c:pt idx="0">
                  <c:v>72</c:v>
                </c:pt>
                <c:pt idx="1">
                  <c:v>72</c:v>
                </c:pt>
                <c:pt idx="2">
                  <c:v>72</c:v>
                </c:pt>
                <c:pt idx="3">
                  <c:v>72</c:v>
                </c:pt>
                <c:pt idx="4">
                  <c:v>72</c:v>
                </c:pt>
                <c:pt idx="5">
                  <c:v>72</c:v>
                </c:pt>
                <c:pt idx="6">
                  <c:v>72</c:v>
                </c:pt>
                <c:pt idx="7">
                  <c:v>72</c:v>
                </c:pt>
                <c:pt idx="8">
                  <c:v>72</c:v>
                </c:pt>
                <c:pt idx="9">
                  <c:v>72</c:v>
                </c:pt>
                <c:pt idx="10">
                  <c:v>72</c:v>
                </c:pt>
                <c:pt idx="11">
                  <c:v>72</c:v>
                </c:pt>
                <c:pt idx="12">
                  <c:v>72</c:v>
                </c:pt>
                <c:pt idx="13">
                  <c:v>72</c:v>
                </c:pt>
                <c:pt idx="14">
                  <c:v>72</c:v>
                </c:pt>
                <c:pt idx="15">
                  <c:v>72</c:v>
                </c:pt>
                <c:pt idx="16">
                  <c:v>72</c:v>
                </c:pt>
                <c:pt idx="17">
                  <c:v>72</c:v>
                </c:pt>
                <c:pt idx="18">
                  <c:v>72</c:v>
                </c:pt>
                <c:pt idx="19">
                  <c:v>72</c:v>
                </c:pt>
                <c:pt idx="20">
                  <c:v>72</c:v>
                </c:pt>
                <c:pt idx="21">
                  <c:v>72</c:v>
                </c:pt>
                <c:pt idx="22">
                  <c:v>72</c:v>
                </c:pt>
                <c:pt idx="23">
                  <c:v>72</c:v>
                </c:pt>
              </c:numCache>
            </c:numRef>
          </c:val>
          <c:smooth val="0"/>
          <c:extLst>
            <c:ext xmlns:c16="http://schemas.microsoft.com/office/drawing/2014/chart" uri="{C3380CC4-5D6E-409C-BE32-E72D297353CC}">
              <c16:uniqueId val="{00000001-5AA3-4EA2-B281-19B148F2D9DC}"/>
            </c:ext>
          </c:extLst>
        </c:ser>
        <c:ser>
          <c:idx val="2"/>
          <c:order val="2"/>
          <c:spPr>
            <a:ln w="28575" cap="rnd">
              <a:solidFill>
                <a:schemeClr val="accent3"/>
              </a:solidFill>
              <a:round/>
            </a:ln>
            <a:effectLst/>
          </c:spPr>
          <c:marker>
            <c:symbol val="none"/>
          </c:marker>
          <c:val>
            <c:numRef>
              <c:f>Schedules!$F$105:$AC$105</c:f>
              <c:numCache>
                <c:formatCode>0</c:formatCode>
                <c:ptCount val="24"/>
                <c:pt idx="0">
                  <c:v>72</c:v>
                </c:pt>
                <c:pt idx="1">
                  <c:v>72</c:v>
                </c:pt>
                <c:pt idx="2">
                  <c:v>72</c:v>
                </c:pt>
                <c:pt idx="3">
                  <c:v>72</c:v>
                </c:pt>
                <c:pt idx="4">
                  <c:v>72</c:v>
                </c:pt>
                <c:pt idx="5">
                  <c:v>72</c:v>
                </c:pt>
                <c:pt idx="6">
                  <c:v>72</c:v>
                </c:pt>
                <c:pt idx="7">
                  <c:v>72</c:v>
                </c:pt>
                <c:pt idx="8">
                  <c:v>72</c:v>
                </c:pt>
                <c:pt idx="9">
                  <c:v>72</c:v>
                </c:pt>
                <c:pt idx="10">
                  <c:v>72</c:v>
                </c:pt>
                <c:pt idx="11">
                  <c:v>72</c:v>
                </c:pt>
                <c:pt idx="12">
                  <c:v>72</c:v>
                </c:pt>
                <c:pt idx="13">
                  <c:v>72</c:v>
                </c:pt>
                <c:pt idx="14">
                  <c:v>72</c:v>
                </c:pt>
                <c:pt idx="15">
                  <c:v>72</c:v>
                </c:pt>
                <c:pt idx="16">
                  <c:v>72</c:v>
                </c:pt>
                <c:pt idx="17">
                  <c:v>72</c:v>
                </c:pt>
                <c:pt idx="18">
                  <c:v>72</c:v>
                </c:pt>
                <c:pt idx="19">
                  <c:v>72</c:v>
                </c:pt>
                <c:pt idx="20">
                  <c:v>72</c:v>
                </c:pt>
                <c:pt idx="21">
                  <c:v>72</c:v>
                </c:pt>
                <c:pt idx="22">
                  <c:v>72</c:v>
                </c:pt>
                <c:pt idx="23">
                  <c:v>72</c:v>
                </c:pt>
              </c:numCache>
            </c:numRef>
          </c:val>
          <c:smooth val="0"/>
          <c:extLst>
            <c:ext xmlns:c16="http://schemas.microsoft.com/office/drawing/2014/chart" uri="{C3380CC4-5D6E-409C-BE32-E72D297353CC}">
              <c16:uniqueId val="{00000002-5AA3-4EA2-B281-19B148F2D9DC}"/>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80"/>
          <c:min val="6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5"/>
        <c:minorUnit val="2"/>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Schedules!$C$75</c:f>
          <c:strCache>
            <c:ptCount val="1"/>
            <c:pt idx="0">
              <c:v>HtgSetpt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Schedules!$E$75</c:f>
              <c:strCache>
                <c:ptCount val="1"/>
                <c:pt idx="0">
                  <c:v>Weekday</c:v>
                </c:pt>
              </c:strCache>
            </c:strRef>
          </c:tx>
          <c:spPr>
            <a:ln w="28575" cap="rnd">
              <a:solidFill>
                <a:schemeClr val="accent1"/>
              </a:solidFill>
              <a:round/>
            </a:ln>
            <a:effectLst/>
          </c:spPr>
          <c:marker>
            <c:symbol val="none"/>
          </c:marker>
          <c:val>
            <c:numRef>
              <c:f>Schedules!$F$75:$AC$75</c:f>
              <c:numCache>
                <c:formatCode>General</c:formatCode>
                <c:ptCount val="24"/>
                <c:pt idx="0">
                  <c:v>68</c:v>
                </c:pt>
                <c:pt idx="1">
                  <c:v>68</c:v>
                </c:pt>
                <c:pt idx="2">
                  <c:v>68</c:v>
                </c:pt>
                <c:pt idx="3">
                  <c:v>68</c:v>
                </c:pt>
                <c:pt idx="4">
                  <c:v>68</c:v>
                </c:pt>
                <c:pt idx="5">
                  <c:v>68</c:v>
                </c:pt>
                <c:pt idx="6">
                  <c:v>68</c:v>
                </c:pt>
                <c:pt idx="7">
                  <c:v>68</c:v>
                </c:pt>
                <c:pt idx="8">
                  <c:v>68</c:v>
                </c:pt>
                <c:pt idx="9">
                  <c:v>68</c:v>
                </c:pt>
                <c:pt idx="10">
                  <c:v>68</c:v>
                </c:pt>
                <c:pt idx="11">
                  <c:v>68</c:v>
                </c:pt>
                <c:pt idx="12">
                  <c:v>68</c:v>
                </c:pt>
                <c:pt idx="13">
                  <c:v>68</c:v>
                </c:pt>
                <c:pt idx="14">
                  <c:v>68</c:v>
                </c:pt>
                <c:pt idx="15">
                  <c:v>68</c:v>
                </c:pt>
                <c:pt idx="16">
                  <c:v>68</c:v>
                </c:pt>
                <c:pt idx="17">
                  <c:v>68</c:v>
                </c:pt>
                <c:pt idx="18">
                  <c:v>68</c:v>
                </c:pt>
                <c:pt idx="19">
                  <c:v>68</c:v>
                </c:pt>
                <c:pt idx="20">
                  <c:v>68</c:v>
                </c:pt>
                <c:pt idx="21">
                  <c:v>68</c:v>
                </c:pt>
                <c:pt idx="22">
                  <c:v>68</c:v>
                </c:pt>
                <c:pt idx="23">
                  <c:v>68</c:v>
                </c:pt>
              </c:numCache>
            </c:numRef>
          </c:val>
          <c:smooth val="0"/>
          <c:extLst>
            <c:ext xmlns:c16="http://schemas.microsoft.com/office/drawing/2014/chart" uri="{C3380CC4-5D6E-409C-BE32-E72D297353CC}">
              <c16:uniqueId val="{00000000-D6B0-4BA2-913B-0890E98AFD5F}"/>
            </c:ext>
          </c:extLst>
        </c:ser>
        <c:ser>
          <c:idx val="1"/>
          <c:order val="1"/>
          <c:tx>
            <c:strRef>
              <c:f>Schedules!$E$76</c:f>
              <c:strCache>
                <c:ptCount val="1"/>
                <c:pt idx="0">
                  <c:v>Saturday</c:v>
                </c:pt>
              </c:strCache>
            </c:strRef>
          </c:tx>
          <c:spPr>
            <a:ln w="28575" cap="rnd">
              <a:solidFill>
                <a:schemeClr val="accent2"/>
              </a:solidFill>
              <a:round/>
            </a:ln>
            <a:effectLst/>
          </c:spPr>
          <c:marker>
            <c:symbol val="none"/>
          </c:marker>
          <c:val>
            <c:numRef>
              <c:f>Schedules!$F$76:$AC$76</c:f>
              <c:numCache>
                <c:formatCode>General</c:formatCode>
                <c:ptCount val="24"/>
                <c:pt idx="0">
                  <c:v>68</c:v>
                </c:pt>
                <c:pt idx="1">
                  <c:v>68</c:v>
                </c:pt>
                <c:pt idx="2">
                  <c:v>68</c:v>
                </c:pt>
                <c:pt idx="3">
                  <c:v>68</c:v>
                </c:pt>
                <c:pt idx="4">
                  <c:v>68</c:v>
                </c:pt>
                <c:pt idx="5">
                  <c:v>68</c:v>
                </c:pt>
                <c:pt idx="6">
                  <c:v>68</c:v>
                </c:pt>
                <c:pt idx="7">
                  <c:v>68</c:v>
                </c:pt>
                <c:pt idx="8">
                  <c:v>68</c:v>
                </c:pt>
                <c:pt idx="9">
                  <c:v>68</c:v>
                </c:pt>
                <c:pt idx="10">
                  <c:v>68</c:v>
                </c:pt>
                <c:pt idx="11">
                  <c:v>68</c:v>
                </c:pt>
                <c:pt idx="12">
                  <c:v>68</c:v>
                </c:pt>
                <c:pt idx="13">
                  <c:v>68</c:v>
                </c:pt>
                <c:pt idx="14">
                  <c:v>68</c:v>
                </c:pt>
                <c:pt idx="15">
                  <c:v>68</c:v>
                </c:pt>
                <c:pt idx="16">
                  <c:v>68</c:v>
                </c:pt>
                <c:pt idx="17">
                  <c:v>68</c:v>
                </c:pt>
                <c:pt idx="18">
                  <c:v>68</c:v>
                </c:pt>
                <c:pt idx="19">
                  <c:v>68</c:v>
                </c:pt>
                <c:pt idx="20">
                  <c:v>68</c:v>
                </c:pt>
                <c:pt idx="21">
                  <c:v>68</c:v>
                </c:pt>
                <c:pt idx="22">
                  <c:v>68</c:v>
                </c:pt>
                <c:pt idx="23">
                  <c:v>68</c:v>
                </c:pt>
              </c:numCache>
            </c:numRef>
          </c:val>
          <c:smooth val="0"/>
          <c:extLst>
            <c:ext xmlns:c16="http://schemas.microsoft.com/office/drawing/2014/chart" uri="{C3380CC4-5D6E-409C-BE32-E72D297353CC}">
              <c16:uniqueId val="{00000001-D6B0-4BA2-913B-0890E98AFD5F}"/>
            </c:ext>
          </c:extLst>
        </c:ser>
        <c:ser>
          <c:idx val="2"/>
          <c:order val="2"/>
          <c:tx>
            <c:strRef>
              <c:f>Schedules!$E$77</c:f>
              <c:strCache>
                <c:ptCount val="1"/>
                <c:pt idx="0">
                  <c:v>Sunday</c:v>
                </c:pt>
              </c:strCache>
            </c:strRef>
          </c:tx>
          <c:spPr>
            <a:ln w="28575" cap="rnd">
              <a:solidFill>
                <a:schemeClr val="accent3"/>
              </a:solidFill>
              <a:round/>
            </a:ln>
            <a:effectLst/>
          </c:spPr>
          <c:marker>
            <c:symbol val="none"/>
          </c:marker>
          <c:val>
            <c:numRef>
              <c:f>Schedules!$F$77:$AC$77</c:f>
              <c:numCache>
                <c:formatCode>General</c:formatCode>
                <c:ptCount val="24"/>
                <c:pt idx="0">
                  <c:v>68</c:v>
                </c:pt>
                <c:pt idx="1">
                  <c:v>68</c:v>
                </c:pt>
                <c:pt idx="2">
                  <c:v>68</c:v>
                </c:pt>
                <c:pt idx="3">
                  <c:v>68</c:v>
                </c:pt>
                <c:pt idx="4">
                  <c:v>68</c:v>
                </c:pt>
                <c:pt idx="5">
                  <c:v>68</c:v>
                </c:pt>
                <c:pt idx="6">
                  <c:v>68</c:v>
                </c:pt>
                <c:pt idx="7">
                  <c:v>68</c:v>
                </c:pt>
                <c:pt idx="8">
                  <c:v>68</c:v>
                </c:pt>
                <c:pt idx="9">
                  <c:v>68</c:v>
                </c:pt>
                <c:pt idx="10">
                  <c:v>68</c:v>
                </c:pt>
                <c:pt idx="11">
                  <c:v>68</c:v>
                </c:pt>
                <c:pt idx="12">
                  <c:v>68</c:v>
                </c:pt>
                <c:pt idx="13">
                  <c:v>68</c:v>
                </c:pt>
                <c:pt idx="14">
                  <c:v>68</c:v>
                </c:pt>
                <c:pt idx="15">
                  <c:v>68</c:v>
                </c:pt>
                <c:pt idx="16">
                  <c:v>68</c:v>
                </c:pt>
                <c:pt idx="17">
                  <c:v>68</c:v>
                </c:pt>
                <c:pt idx="18">
                  <c:v>68</c:v>
                </c:pt>
                <c:pt idx="19">
                  <c:v>68</c:v>
                </c:pt>
                <c:pt idx="20">
                  <c:v>68</c:v>
                </c:pt>
                <c:pt idx="21">
                  <c:v>68</c:v>
                </c:pt>
                <c:pt idx="22">
                  <c:v>68</c:v>
                </c:pt>
                <c:pt idx="23">
                  <c:v>68</c:v>
                </c:pt>
              </c:numCache>
            </c:numRef>
          </c:val>
          <c:smooth val="0"/>
          <c:extLst>
            <c:ext xmlns:c16="http://schemas.microsoft.com/office/drawing/2014/chart" uri="{C3380CC4-5D6E-409C-BE32-E72D297353CC}">
              <c16:uniqueId val="{00000002-D6B0-4BA2-913B-0890E98AFD5F}"/>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80"/>
          <c:min val="6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5"/>
        <c:minorUnit val="2"/>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Schedules!$C$78</c:f>
          <c:strCache>
            <c:ptCount val="1"/>
            <c:pt idx="0">
              <c:v>ClgSetpt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Schedules!$E$78</c:f>
              <c:strCache>
                <c:ptCount val="1"/>
                <c:pt idx="0">
                  <c:v>Weekday</c:v>
                </c:pt>
              </c:strCache>
            </c:strRef>
          </c:tx>
          <c:spPr>
            <a:ln w="28575" cap="rnd">
              <a:solidFill>
                <a:schemeClr val="accent1"/>
              </a:solidFill>
              <a:round/>
            </a:ln>
            <a:effectLst/>
          </c:spPr>
          <c:marker>
            <c:symbol val="none"/>
          </c:marker>
          <c:val>
            <c:numRef>
              <c:f>Schedules!$F$78:$AC$78</c:f>
              <c:numCache>
                <c:formatCode>General</c:formatCode>
                <c:ptCount val="24"/>
                <c:pt idx="0">
                  <c:v>78</c:v>
                </c:pt>
                <c:pt idx="1">
                  <c:v>78</c:v>
                </c:pt>
                <c:pt idx="2">
                  <c:v>78</c:v>
                </c:pt>
                <c:pt idx="3">
                  <c:v>78</c:v>
                </c:pt>
                <c:pt idx="4">
                  <c:v>78</c:v>
                </c:pt>
                <c:pt idx="5">
                  <c:v>78</c:v>
                </c:pt>
                <c:pt idx="6">
                  <c:v>78</c:v>
                </c:pt>
                <c:pt idx="7">
                  <c:v>78</c:v>
                </c:pt>
                <c:pt idx="8">
                  <c:v>78</c:v>
                </c:pt>
                <c:pt idx="9">
                  <c:v>78</c:v>
                </c:pt>
                <c:pt idx="10">
                  <c:v>78</c:v>
                </c:pt>
                <c:pt idx="11">
                  <c:v>78</c:v>
                </c:pt>
                <c:pt idx="12">
                  <c:v>78</c:v>
                </c:pt>
                <c:pt idx="13">
                  <c:v>78</c:v>
                </c:pt>
                <c:pt idx="14">
                  <c:v>78</c:v>
                </c:pt>
                <c:pt idx="15">
                  <c:v>78</c:v>
                </c:pt>
                <c:pt idx="16">
                  <c:v>78</c:v>
                </c:pt>
                <c:pt idx="17">
                  <c:v>78</c:v>
                </c:pt>
                <c:pt idx="18">
                  <c:v>78</c:v>
                </c:pt>
                <c:pt idx="19">
                  <c:v>78</c:v>
                </c:pt>
                <c:pt idx="20">
                  <c:v>78</c:v>
                </c:pt>
                <c:pt idx="21">
                  <c:v>78</c:v>
                </c:pt>
                <c:pt idx="22">
                  <c:v>78</c:v>
                </c:pt>
                <c:pt idx="23">
                  <c:v>78</c:v>
                </c:pt>
              </c:numCache>
            </c:numRef>
          </c:val>
          <c:smooth val="0"/>
          <c:extLst>
            <c:ext xmlns:c16="http://schemas.microsoft.com/office/drawing/2014/chart" uri="{C3380CC4-5D6E-409C-BE32-E72D297353CC}">
              <c16:uniqueId val="{00000000-E620-4B70-B916-B334829D9A66}"/>
            </c:ext>
          </c:extLst>
        </c:ser>
        <c:ser>
          <c:idx val="1"/>
          <c:order val="1"/>
          <c:tx>
            <c:strRef>
              <c:f>Schedules!$E$79</c:f>
              <c:strCache>
                <c:ptCount val="1"/>
                <c:pt idx="0">
                  <c:v>Saturday</c:v>
                </c:pt>
              </c:strCache>
            </c:strRef>
          </c:tx>
          <c:spPr>
            <a:ln w="28575" cap="rnd">
              <a:solidFill>
                <a:schemeClr val="accent2"/>
              </a:solidFill>
              <a:round/>
            </a:ln>
            <a:effectLst/>
          </c:spPr>
          <c:marker>
            <c:symbol val="none"/>
          </c:marker>
          <c:val>
            <c:numRef>
              <c:f>Schedules!$F$79:$AC$79</c:f>
              <c:numCache>
                <c:formatCode>General</c:formatCode>
                <c:ptCount val="24"/>
                <c:pt idx="0">
                  <c:v>78</c:v>
                </c:pt>
                <c:pt idx="1">
                  <c:v>78</c:v>
                </c:pt>
                <c:pt idx="2">
                  <c:v>78</c:v>
                </c:pt>
                <c:pt idx="3">
                  <c:v>78</c:v>
                </c:pt>
                <c:pt idx="4">
                  <c:v>78</c:v>
                </c:pt>
                <c:pt idx="5">
                  <c:v>78</c:v>
                </c:pt>
                <c:pt idx="6">
                  <c:v>78</c:v>
                </c:pt>
                <c:pt idx="7">
                  <c:v>78</c:v>
                </c:pt>
                <c:pt idx="8">
                  <c:v>78</c:v>
                </c:pt>
                <c:pt idx="9">
                  <c:v>78</c:v>
                </c:pt>
                <c:pt idx="10">
                  <c:v>78</c:v>
                </c:pt>
                <c:pt idx="11">
                  <c:v>78</c:v>
                </c:pt>
                <c:pt idx="12">
                  <c:v>78</c:v>
                </c:pt>
                <c:pt idx="13">
                  <c:v>78</c:v>
                </c:pt>
                <c:pt idx="14">
                  <c:v>78</c:v>
                </c:pt>
                <c:pt idx="15">
                  <c:v>78</c:v>
                </c:pt>
                <c:pt idx="16">
                  <c:v>78</c:v>
                </c:pt>
                <c:pt idx="17">
                  <c:v>78</c:v>
                </c:pt>
                <c:pt idx="18">
                  <c:v>78</c:v>
                </c:pt>
                <c:pt idx="19">
                  <c:v>78</c:v>
                </c:pt>
                <c:pt idx="20">
                  <c:v>78</c:v>
                </c:pt>
                <c:pt idx="21">
                  <c:v>78</c:v>
                </c:pt>
                <c:pt idx="22">
                  <c:v>78</c:v>
                </c:pt>
                <c:pt idx="23">
                  <c:v>78</c:v>
                </c:pt>
              </c:numCache>
            </c:numRef>
          </c:val>
          <c:smooth val="0"/>
          <c:extLst>
            <c:ext xmlns:c16="http://schemas.microsoft.com/office/drawing/2014/chart" uri="{C3380CC4-5D6E-409C-BE32-E72D297353CC}">
              <c16:uniqueId val="{00000001-E620-4B70-B916-B334829D9A66}"/>
            </c:ext>
          </c:extLst>
        </c:ser>
        <c:ser>
          <c:idx val="2"/>
          <c:order val="2"/>
          <c:tx>
            <c:strRef>
              <c:f>Schedules!$E$80</c:f>
              <c:strCache>
                <c:ptCount val="1"/>
                <c:pt idx="0">
                  <c:v>Sunday</c:v>
                </c:pt>
              </c:strCache>
            </c:strRef>
          </c:tx>
          <c:spPr>
            <a:ln w="28575" cap="rnd">
              <a:solidFill>
                <a:schemeClr val="accent3"/>
              </a:solidFill>
              <a:round/>
            </a:ln>
            <a:effectLst/>
          </c:spPr>
          <c:marker>
            <c:symbol val="none"/>
          </c:marker>
          <c:val>
            <c:numRef>
              <c:f>Schedules!$F$80:$AC$80</c:f>
              <c:numCache>
                <c:formatCode>General</c:formatCode>
                <c:ptCount val="24"/>
                <c:pt idx="0">
                  <c:v>78</c:v>
                </c:pt>
                <c:pt idx="1">
                  <c:v>78</c:v>
                </c:pt>
                <c:pt idx="2">
                  <c:v>78</c:v>
                </c:pt>
                <c:pt idx="3">
                  <c:v>78</c:v>
                </c:pt>
                <c:pt idx="4">
                  <c:v>78</c:v>
                </c:pt>
                <c:pt idx="5">
                  <c:v>78</c:v>
                </c:pt>
                <c:pt idx="6">
                  <c:v>78</c:v>
                </c:pt>
                <c:pt idx="7">
                  <c:v>78</c:v>
                </c:pt>
                <c:pt idx="8">
                  <c:v>78</c:v>
                </c:pt>
                <c:pt idx="9">
                  <c:v>78</c:v>
                </c:pt>
                <c:pt idx="10">
                  <c:v>78</c:v>
                </c:pt>
                <c:pt idx="11">
                  <c:v>78</c:v>
                </c:pt>
                <c:pt idx="12">
                  <c:v>78</c:v>
                </c:pt>
                <c:pt idx="13">
                  <c:v>78</c:v>
                </c:pt>
                <c:pt idx="14">
                  <c:v>78</c:v>
                </c:pt>
                <c:pt idx="15">
                  <c:v>78</c:v>
                </c:pt>
                <c:pt idx="16">
                  <c:v>78</c:v>
                </c:pt>
                <c:pt idx="17">
                  <c:v>78</c:v>
                </c:pt>
                <c:pt idx="18">
                  <c:v>78</c:v>
                </c:pt>
                <c:pt idx="19">
                  <c:v>78</c:v>
                </c:pt>
                <c:pt idx="20">
                  <c:v>78</c:v>
                </c:pt>
                <c:pt idx="21">
                  <c:v>78</c:v>
                </c:pt>
                <c:pt idx="22">
                  <c:v>78</c:v>
                </c:pt>
                <c:pt idx="23">
                  <c:v>78</c:v>
                </c:pt>
              </c:numCache>
            </c:numRef>
          </c:val>
          <c:smooth val="0"/>
          <c:extLst>
            <c:ext xmlns:c16="http://schemas.microsoft.com/office/drawing/2014/chart" uri="{C3380CC4-5D6E-409C-BE32-E72D297353CC}">
              <c16:uniqueId val="{00000002-E620-4B70-B916-B334829D9A66}"/>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80"/>
          <c:min val="6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5"/>
        <c:minorUnit val="2"/>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Schedules!$C$348</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Schedules!$E$348</c:f>
            </c:strRef>
          </c:tx>
          <c:spPr>
            <a:ln w="28575" cap="rnd">
              <a:solidFill>
                <a:schemeClr val="accent1"/>
              </a:solidFill>
              <a:round/>
            </a:ln>
            <a:effectLst/>
          </c:spPr>
          <c:marker>
            <c:symbol val="none"/>
          </c:marker>
          <c:val>
            <c:numRef>
              <c:f>Schedules!$F$348:$AC$348</c:f>
            </c:numRef>
          </c:val>
          <c:smooth val="0"/>
          <c:extLst>
            <c:ext xmlns:c16="http://schemas.microsoft.com/office/drawing/2014/chart" uri="{C3380CC4-5D6E-409C-BE32-E72D297353CC}">
              <c16:uniqueId val="{00000000-26D2-47DE-A582-1D8D4697507D}"/>
            </c:ext>
          </c:extLst>
        </c:ser>
        <c:ser>
          <c:idx val="1"/>
          <c:order val="1"/>
          <c:tx>
            <c:strRef>
              <c:f>Schedules!$E$349</c:f>
            </c:strRef>
          </c:tx>
          <c:spPr>
            <a:ln w="28575" cap="rnd">
              <a:solidFill>
                <a:schemeClr val="accent2"/>
              </a:solidFill>
              <a:round/>
            </a:ln>
            <a:effectLst/>
          </c:spPr>
          <c:marker>
            <c:symbol val="none"/>
          </c:marker>
          <c:val>
            <c:numRef>
              <c:f>Schedules!$F$349:$AC$349</c:f>
            </c:numRef>
          </c:val>
          <c:smooth val="0"/>
          <c:extLst>
            <c:ext xmlns:c16="http://schemas.microsoft.com/office/drawing/2014/chart" uri="{C3380CC4-5D6E-409C-BE32-E72D297353CC}">
              <c16:uniqueId val="{00000001-26D2-47DE-A582-1D8D4697507D}"/>
            </c:ext>
          </c:extLst>
        </c:ser>
        <c:ser>
          <c:idx val="2"/>
          <c:order val="2"/>
          <c:tx>
            <c:strRef>
              <c:f>Schedules!$E$350</c:f>
            </c:strRef>
          </c:tx>
          <c:spPr>
            <a:ln w="28575" cap="rnd">
              <a:solidFill>
                <a:schemeClr val="accent3"/>
              </a:solidFill>
              <a:round/>
            </a:ln>
            <a:effectLst/>
          </c:spPr>
          <c:marker>
            <c:symbol val="none"/>
          </c:marker>
          <c:val>
            <c:numRef>
              <c:f>Schedules!$F$350:$AC$350</c:f>
            </c:numRef>
          </c:val>
          <c:smooth val="0"/>
          <c:extLst>
            <c:ext xmlns:c16="http://schemas.microsoft.com/office/drawing/2014/chart" uri="{C3380CC4-5D6E-409C-BE32-E72D297353CC}">
              <c16:uniqueId val="{00000002-26D2-47DE-A582-1D8D4697507D}"/>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Schedules!$C$351</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Schedules!$E$32</c:f>
              <c:strCache>
                <c:ptCount val="1"/>
                <c:pt idx="0">
                  <c:v>Weekday</c:v>
                </c:pt>
              </c:strCache>
            </c:strRef>
          </c:tx>
          <c:spPr>
            <a:ln w="28575" cap="rnd">
              <a:solidFill>
                <a:schemeClr val="accent1"/>
              </a:solidFill>
              <a:round/>
            </a:ln>
            <a:effectLst/>
          </c:spPr>
          <c:marker>
            <c:symbol val="none"/>
          </c:marker>
          <c:val>
            <c:numRef>
              <c:f>Schedules!$F$32:$AC$32</c:f>
              <c:numCache>
                <c:formatCode>0.00</c:formatCode>
                <c:ptCount val="24"/>
                <c:pt idx="0">
                  <c:v>0.05</c:v>
                </c:pt>
                <c:pt idx="1">
                  <c:v>0.05</c:v>
                </c:pt>
                <c:pt idx="2">
                  <c:v>0.05</c:v>
                </c:pt>
                <c:pt idx="3">
                  <c:v>0.05</c:v>
                </c:pt>
                <c:pt idx="4">
                  <c:v>0.05</c:v>
                </c:pt>
                <c:pt idx="5">
                  <c:v>0.05</c:v>
                </c:pt>
                <c:pt idx="6">
                  <c:v>0.35</c:v>
                </c:pt>
                <c:pt idx="7">
                  <c:v>0.35</c:v>
                </c:pt>
                <c:pt idx="8">
                  <c:v>0.35</c:v>
                </c:pt>
                <c:pt idx="9">
                  <c:v>0.65</c:v>
                </c:pt>
                <c:pt idx="10">
                  <c:v>0.65</c:v>
                </c:pt>
                <c:pt idx="11">
                  <c:v>0.65</c:v>
                </c:pt>
                <c:pt idx="12">
                  <c:v>0.65</c:v>
                </c:pt>
                <c:pt idx="13">
                  <c:v>0.65</c:v>
                </c:pt>
                <c:pt idx="14">
                  <c:v>0.65</c:v>
                </c:pt>
                <c:pt idx="15">
                  <c:v>0.65</c:v>
                </c:pt>
                <c:pt idx="16">
                  <c:v>0.65</c:v>
                </c:pt>
                <c:pt idx="17">
                  <c:v>0.65</c:v>
                </c:pt>
                <c:pt idx="18">
                  <c:v>0.65</c:v>
                </c:pt>
                <c:pt idx="19">
                  <c:v>0.65</c:v>
                </c:pt>
                <c:pt idx="20">
                  <c:v>0.65</c:v>
                </c:pt>
                <c:pt idx="21">
                  <c:v>0.65</c:v>
                </c:pt>
                <c:pt idx="22">
                  <c:v>0.25</c:v>
                </c:pt>
                <c:pt idx="23">
                  <c:v>0.05</c:v>
                </c:pt>
              </c:numCache>
            </c:numRef>
          </c:val>
          <c:smooth val="0"/>
          <c:extLst>
            <c:ext xmlns:c16="http://schemas.microsoft.com/office/drawing/2014/chart" uri="{C3380CC4-5D6E-409C-BE32-E72D297353CC}">
              <c16:uniqueId val="{00000000-F757-4C57-903B-98B3E87E393B}"/>
            </c:ext>
          </c:extLst>
        </c:ser>
        <c:ser>
          <c:idx val="1"/>
          <c:order val="1"/>
          <c:tx>
            <c:strRef>
              <c:f>Schedules!$E$33</c:f>
              <c:strCache>
                <c:ptCount val="1"/>
                <c:pt idx="0">
                  <c:v>Saturday</c:v>
                </c:pt>
              </c:strCache>
            </c:strRef>
          </c:tx>
          <c:spPr>
            <a:ln w="28575" cap="rnd">
              <a:solidFill>
                <a:schemeClr val="accent2"/>
              </a:solidFill>
              <a:round/>
            </a:ln>
            <a:effectLst/>
          </c:spPr>
          <c:marker>
            <c:symbol val="none"/>
          </c:marker>
          <c:val>
            <c:numRef>
              <c:f>Schedules!$F$33:$AC$33</c:f>
              <c:numCache>
                <c:formatCode>0.00</c:formatCode>
                <c:ptCount val="24"/>
                <c:pt idx="0">
                  <c:v>0.05</c:v>
                </c:pt>
                <c:pt idx="1">
                  <c:v>0.05</c:v>
                </c:pt>
                <c:pt idx="2">
                  <c:v>0.05</c:v>
                </c:pt>
                <c:pt idx="3">
                  <c:v>0.05</c:v>
                </c:pt>
                <c:pt idx="4">
                  <c:v>0.05</c:v>
                </c:pt>
                <c:pt idx="5">
                  <c:v>0.05</c:v>
                </c:pt>
                <c:pt idx="6">
                  <c:v>0.05</c:v>
                </c:pt>
                <c:pt idx="7">
                  <c:v>0.3</c:v>
                </c:pt>
                <c:pt idx="8">
                  <c:v>0.3</c:v>
                </c:pt>
                <c:pt idx="9">
                  <c:v>0.4</c:v>
                </c:pt>
                <c:pt idx="10">
                  <c:v>0.4</c:v>
                </c:pt>
                <c:pt idx="11">
                  <c:v>0.4</c:v>
                </c:pt>
                <c:pt idx="12">
                  <c:v>0.4</c:v>
                </c:pt>
                <c:pt idx="13">
                  <c:v>0.4</c:v>
                </c:pt>
                <c:pt idx="14">
                  <c:v>0.4</c:v>
                </c:pt>
                <c:pt idx="15">
                  <c:v>0.4</c:v>
                </c:pt>
                <c:pt idx="16">
                  <c:v>0.4</c:v>
                </c:pt>
                <c:pt idx="17">
                  <c:v>0.4</c:v>
                </c:pt>
                <c:pt idx="18">
                  <c:v>0.4</c:v>
                </c:pt>
                <c:pt idx="19">
                  <c:v>0.4</c:v>
                </c:pt>
                <c:pt idx="20">
                  <c:v>0.4</c:v>
                </c:pt>
                <c:pt idx="21">
                  <c:v>0.4</c:v>
                </c:pt>
                <c:pt idx="22">
                  <c:v>0.4</c:v>
                </c:pt>
                <c:pt idx="23">
                  <c:v>0.05</c:v>
                </c:pt>
              </c:numCache>
            </c:numRef>
          </c:val>
          <c:smooth val="0"/>
          <c:extLst>
            <c:ext xmlns:c16="http://schemas.microsoft.com/office/drawing/2014/chart" uri="{C3380CC4-5D6E-409C-BE32-E72D297353CC}">
              <c16:uniqueId val="{00000001-F757-4C57-903B-98B3E87E393B}"/>
            </c:ext>
          </c:extLst>
        </c:ser>
        <c:ser>
          <c:idx val="2"/>
          <c:order val="2"/>
          <c:tx>
            <c:strRef>
              <c:f>Schedules!$E$34</c:f>
              <c:strCache>
                <c:ptCount val="1"/>
                <c:pt idx="0">
                  <c:v>Sunday</c:v>
                </c:pt>
              </c:strCache>
            </c:strRef>
          </c:tx>
          <c:spPr>
            <a:ln w="28575" cap="rnd">
              <a:solidFill>
                <a:schemeClr val="accent3"/>
              </a:solidFill>
              <a:round/>
            </a:ln>
            <a:effectLst/>
          </c:spPr>
          <c:marker>
            <c:symbol val="none"/>
          </c:marker>
          <c:val>
            <c:numRef>
              <c:f>Schedules!$F$34:$AC$34</c:f>
              <c:numCache>
                <c:formatCode>0.00</c:formatCode>
                <c:ptCount val="24"/>
                <c:pt idx="0">
                  <c:v>0.05</c:v>
                </c:pt>
                <c:pt idx="1">
                  <c:v>0.05</c:v>
                </c:pt>
                <c:pt idx="2">
                  <c:v>0.05</c:v>
                </c:pt>
                <c:pt idx="3">
                  <c:v>0.05</c:v>
                </c:pt>
                <c:pt idx="4">
                  <c:v>0.05</c:v>
                </c:pt>
                <c:pt idx="5">
                  <c:v>0.05</c:v>
                </c:pt>
                <c:pt idx="6">
                  <c:v>0.05</c:v>
                </c:pt>
                <c:pt idx="7">
                  <c:v>0.3</c:v>
                </c:pt>
                <c:pt idx="8">
                  <c:v>0.3</c:v>
                </c:pt>
                <c:pt idx="9">
                  <c:v>0.3</c:v>
                </c:pt>
                <c:pt idx="10">
                  <c:v>0.3</c:v>
                </c:pt>
                <c:pt idx="11">
                  <c:v>0.3</c:v>
                </c:pt>
                <c:pt idx="12">
                  <c:v>0.55000000000000004</c:v>
                </c:pt>
                <c:pt idx="13">
                  <c:v>0.55000000000000004</c:v>
                </c:pt>
                <c:pt idx="14">
                  <c:v>0.55000000000000004</c:v>
                </c:pt>
                <c:pt idx="15">
                  <c:v>0.55000000000000004</c:v>
                </c:pt>
                <c:pt idx="16">
                  <c:v>0.55000000000000004</c:v>
                </c:pt>
                <c:pt idx="17">
                  <c:v>0.55000000000000004</c:v>
                </c:pt>
                <c:pt idx="18">
                  <c:v>0.55000000000000004</c:v>
                </c:pt>
                <c:pt idx="19">
                  <c:v>0.55000000000000004</c:v>
                </c:pt>
                <c:pt idx="20">
                  <c:v>0.55000000000000004</c:v>
                </c:pt>
                <c:pt idx="21">
                  <c:v>0.55000000000000004</c:v>
                </c:pt>
                <c:pt idx="22">
                  <c:v>0.05</c:v>
                </c:pt>
                <c:pt idx="23">
                  <c:v>0.05</c:v>
                </c:pt>
              </c:numCache>
            </c:numRef>
          </c:val>
          <c:smooth val="0"/>
          <c:extLst>
            <c:ext xmlns:c16="http://schemas.microsoft.com/office/drawing/2014/chart" uri="{C3380CC4-5D6E-409C-BE32-E72D297353CC}">
              <c16:uniqueId val="{00000002-F757-4C57-903B-98B3E87E393B}"/>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Schedules!$C$47</c:f>
          <c:strCache>
            <c:ptCount val="1"/>
            <c:pt idx="0">
              <c:v>GasEquipment</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Schedules!$E$47</c:f>
              <c:strCache>
                <c:ptCount val="1"/>
                <c:pt idx="0">
                  <c:v>Weekday</c:v>
                </c:pt>
              </c:strCache>
            </c:strRef>
          </c:tx>
          <c:spPr>
            <a:ln w="28575" cap="rnd">
              <a:solidFill>
                <a:schemeClr val="accent1"/>
              </a:solidFill>
              <a:round/>
            </a:ln>
            <a:effectLst/>
          </c:spPr>
          <c:marker>
            <c:symbol val="none"/>
          </c:marker>
          <c:val>
            <c:numRef>
              <c:f>Schedules!$F$47:$AC$47</c:f>
              <c:numCache>
                <c:formatCode>0.00</c:formatCode>
                <c:ptCount val="24"/>
                <c:pt idx="0">
                  <c:v>0</c:v>
                </c:pt>
                <c:pt idx="1">
                  <c:v>0</c:v>
                </c:pt>
                <c:pt idx="2">
                  <c:v>0</c:v>
                </c:pt>
                <c:pt idx="3">
                  <c:v>0</c:v>
                </c:pt>
                <c:pt idx="4">
                  <c:v>0</c:v>
                </c:pt>
                <c:pt idx="5">
                  <c:v>0</c:v>
                </c:pt>
                <c:pt idx="6">
                  <c:v>0</c:v>
                </c:pt>
                <c:pt idx="7">
                  <c:v>0</c:v>
                </c:pt>
                <c:pt idx="8">
                  <c:v>0.3</c:v>
                </c:pt>
                <c:pt idx="9">
                  <c:v>0.3</c:v>
                </c:pt>
                <c:pt idx="10">
                  <c:v>0.2</c:v>
                </c:pt>
                <c:pt idx="11">
                  <c:v>0.9</c:v>
                </c:pt>
                <c:pt idx="12">
                  <c:v>0.9</c:v>
                </c:pt>
                <c:pt idx="13">
                  <c:v>0.9</c:v>
                </c:pt>
                <c:pt idx="14">
                  <c:v>0.2</c:v>
                </c:pt>
                <c:pt idx="15">
                  <c:v>0.2</c:v>
                </c:pt>
                <c:pt idx="16">
                  <c:v>0.2</c:v>
                </c:pt>
                <c:pt idx="17">
                  <c:v>0.5</c:v>
                </c:pt>
                <c:pt idx="18">
                  <c:v>0.5</c:v>
                </c:pt>
                <c:pt idx="19">
                  <c:v>0.1</c:v>
                </c:pt>
                <c:pt idx="20">
                  <c:v>0.1</c:v>
                </c:pt>
                <c:pt idx="21">
                  <c:v>0.1</c:v>
                </c:pt>
                <c:pt idx="22">
                  <c:v>0</c:v>
                </c:pt>
                <c:pt idx="23">
                  <c:v>0</c:v>
                </c:pt>
              </c:numCache>
            </c:numRef>
          </c:val>
          <c:smooth val="0"/>
          <c:extLst>
            <c:ext xmlns:c16="http://schemas.microsoft.com/office/drawing/2014/chart" uri="{C3380CC4-5D6E-409C-BE32-E72D297353CC}">
              <c16:uniqueId val="{00000000-541D-40B0-962A-A5C79439ED86}"/>
            </c:ext>
          </c:extLst>
        </c:ser>
        <c:ser>
          <c:idx val="1"/>
          <c:order val="1"/>
          <c:tx>
            <c:strRef>
              <c:f>Schedules!$E$48</c:f>
              <c:strCache>
                <c:ptCount val="1"/>
                <c:pt idx="0">
                  <c:v>Saturday</c:v>
                </c:pt>
              </c:strCache>
            </c:strRef>
          </c:tx>
          <c:spPr>
            <a:ln w="28575" cap="rnd">
              <a:solidFill>
                <a:schemeClr val="accent2"/>
              </a:solidFill>
              <a:round/>
            </a:ln>
            <a:effectLst/>
          </c:spPr>
          <c:marker>
            <c:symbol val="none"/>
          </c:marker>
          <c:val>
            <c:numRef>
              <c:f>Schedules!$F$48:$AC$48</c:f>
              <c:numCache>
                <c:formatCode>0.00</c:formatCode>
                <c:ptCount val="24"/>
                <c:pt idx="0">
                  <c:v>0</c:v>
                </c:pt>
                <c:pt idx="1">
                  <c:v>0</c:v>
                </c:pt>
                <c:pt idx="2">
                  <c:v>0</c:v>
                </c:pt>
                <c:pt idx="3">
                  <c:v>0</c:v>
                </c:pt>
                <c:pt idx="4">
                  <c:v>0</c:v>
                </c:pt>
                <c:pt idx="5">
                  <c:v>0</c:v>
                </c:pt>
                <c:pt idx="6">
                  <c:v>0</c:v>
                </c:pt>
                <c:pt idx="7">
                  <c:v>0</c:v>
                </c:pt>
                <c:pt idx="8">
                  <c:v>0.3</c:v>
                </c:pt>
                <c:pt idx="9">
                  <c:v>0.3</c:v>
                </c:pt>
                <c:pt idx="10">
                  <c:v>0.2</c:v>
                </c:pt>
                <c:pt idx="11">
                  <c:v>0.7</c:v>
                </c:pt>
                <c:pt idx="12">
                  <c:v>0.7</c:v>
                </c:pt>
                <c:pt idx="13">
                  <c:v>0.7</c:v>
                </c:pt>
                <c:pt idx="14">
                  <c:v>0.2</c:v>
                </c:pt>
                <c:pt idx="15">
                  <c:v>0.2</c:v>
                </c:pt>
                <c:pt idx="16">
                  <c:v>0.2</c:v>
                </c:pt>
                <c:pt idx="17">
                  <c:v>0.4</c:v>
                </c:pt>
                <c:pt idx="18">
                  <c:v>0.4</c:v>
                </c:pt>
                <c:pt idx="19">
                  <c:v>0.1</c:v>
                </c:pt>
                <c:pt idx="20">
                  <c:v>0.1</c:v>
                </c:pt>
                <c:pt idx="21">
                  <c:v>0.1</c:v>
                </c:pt>
                <c:pt idx="22">
                  <c:v>0</c:v>
                </c:pt>
                <c:pt idx="23">
                  <c:v>0</c:v>
                </c:pt>
              </c:numCache>
            </c:numRef>
          </c:val>
          <c:smooth val="0"/>
          <c:extLst>
            <c:ext xmlns:c16="http://schemas.microsoft.com/office/drawing/2014/chart" uri="{C3380CC4-5D6E-409C-BE32-E72D297353CC}">
              <c16:uniqueId val="{00000001-541D-40B0-962A-A5C79439ED86}"/>
            </c:ext>
          </c:extLst>
        </c:ser>
        <c:ser>
          <c:idx val="2"/>
          <c:order val="2"/>
          <c:tx>
            <c:strRef>
              <c:f>Schedules!$E$49</c:f>
              <c:strCache>
                <c:ptCount val="1"/>
                <c:pt idx="0">
                  <c:v>Sunday</c:v>
                </c:pt>
              </c:strCache>
            </c:strRef>
          </c:tx>
          <c:spPr>
            <a:ln w="28575" cap="rnd">
              <a:solidFill>
                <a:schemeClr val="accent3"/>
              </a:solidFill>
              <a:prstDash val="dash"/>
              <a:round/>
            </a:ln>
            <a:effectLst/>
          </c:spPr>
          <c:marker>
            <c:symbol val="none"/>
          </c:marker>
          <c:val>
            <c:numRef>
              <c:f>Schedules!$F$49:$AC$49</c:f>
              <c:numCache>
                <c:formatCode>0.00</c:formatCode>
                <c:ptCount val="24"/>
                <c:pt idx="0">
                  <c:v>0</c:v>
                </c:pt>
                <c:pt idx="1">
                  <c:v>0</c:v>
                </c:pt>
                <c:pt idx="2">
                  <c:v>0</c:v>
                </c:pt>
                <c:pt idx="3">
                  <c:v>0</c:v>
                </c:pt>
                <c:pt idx="4">
                  <c:v>0</c:v>
                </c:pt>
                <c:pt idx="5">
                  <c:v>0</c:v>
                </c:pt>
                <c:pt idx="6">
                  <c:v>0</c:v>
                </c:pt>
                <c:pt idx="7">
                  <c:v>0</c:v>
                </c:pt>
                <c:pt idx="8">
                  <c:v>0.2</c:v>
                </c:pt>
                <c:pt idx="9">
                  <c:v>0.2</c:v>
                </c:pt>
                <c:pt idx="10">
                  <c:v>0.1</c:v>
                </c:pt>
                <c:pt idx="11">
                  <c:v>0.1</c:v>
                </c:pt>
                <c:pt idx="12">
                  <c:v>0.3</c:v>
                </c:pt>
                <c:pt idx="13">
                  <c:v>0.8</c:v>
                </c:pt>
                <c:pt idx="14">
                  <c:v>0.2</c:v>
                </c:pt>
                <c:pt idx="15">
                  <c:v>0.2</c:v>
                </c:pt>
                <c:pt idx="16">
                  <c:v>0.2</c:v>
                </c:pt>
                <c:pt idx="17">
                  <c:v>0.5</c:v>
                </c:pt>
                <c:pt idx="18">
                  <c:v>0.5</c:v>
                </c:pt>
                <c:pt idx="19">
                  <c:v>0.1</c:v>
                </c:pt>
                <c:pt idx="20">
                  <c:v>0.1</c:v>
                </c:pt>
                <c:pt idx="21">
                  <c:v>0.1</c:v>
                </c:pt>
                <c:pt idx="22">
                  <c:v>0</c:v>
                </c:pt>
                <c:pt idx="23">
                  <c:v>0</c:v>
                </c:pt>
              </c:numCache>
            </c:numRef>
          </c:val>
          <c:smooth val="0"/>
          <c:extLst>
            <c:ext xmlns:c16="http://schemas.microsoft.com/office/drawing/2014/chart" uri="{C3380CC4-5D6E-409C-BE32-E72D297353CC}">
              <c16:uniqueId val="{00000002-541D-40B0-962A-A5C79439ED86}"/>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Schedules!$C$357</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Schedules!$F$38:$AC$38</c:f>
              <c:numCache>
                <c:formatCode>0.00</c:formatCode>
                <c:ptCount val="24"/>
                <c:pt idx="0">
                  <c:v>0</c:v>
                </c:pt>
                <c:pt idx="1">
                  <c:v>0</c:v>
                </c:pt>
                <c:pt idx="2">
                  <c:v>0</c:v>
                </c:pt>
                <c:pt idx="3">
                  <c:v>0</c:v>
                </c:pt>
                <c:pt idx="4">
                  <c:v>0</c:v>
                </c:pt>
                <c:pt idx="5">
                  <c:v>0</c:v>
                </c:pt>
                <c:pt idx="6">
                  <c:v>0</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0</c:v>
                </c:pt>
              </c:numCache>
            </c:numRef>
          </c:val>
          <c:smooth val="0"/>
          <c:extLst>
            <c:ext xmlns:c16="http://schemas.microsoft.com/office/drawing/2014/chart" uri="{C3380CC4-5D6E-409C-BE32-E72D297353CC}">
              <c16:uniqueId val="{00000000-A770-4B30-83D6-9D04522AE24A}"/>
            </c:ext>
          </c:extLst>
        </c:ser>
        <c:ser>
          <c:idx val="1"/>
          <c:order val="1"/>
          <c:spPr>
            <a:ln w="28575" cap="rnd">
              <a:solidFill>
                <a:schemeClr val="accent2"/>
              </a:solidFill>
              <a:round/>
            </a:ln>
            <a:effectLst/>
          </c:spPr>
          <c:marker>
            <c:symbol val="none"/>
          </c:marker>
          <c:val>
            <c:numRef>
              <c:f>Schedules!$F$39:$AC$39</c:f>
              <c:numCache>
                <c:formatCode>0.00</c:formatCode>
                <c:ptCount val="24"/>
                <c:pt idx="0">
                  <c:v>0</c:v>
                </c:pt>
                <c:pt idx="1">
                  <c:v>0</c:v>
                </c:pt>
                <c:pt idx="2">
                  <c:v>0</c:v>
                </c:pt>
                <c:pt idx="3">
                  <c:v>0</c:v>
                </c:pt>
                <c:pt idx="4">
                  <c:v>0</c:v>
                </c:pt>
                <c:pt idx="5">
                  <c:v>0</c:v>
                </c:pt>
                <c:pt idx="6">
                  <c:v>0</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0</c:v>
                </c:pt>
              </c:numCache>
            </c:numRef>
          </c:val>
          <c:smooth val="0"/>
          <c:extLst>
            <c:ext xmlns:c16="http://schemas.microsoft.com/office/drawing/2014/chart" uri="{C3380CC4-5D6E-409C-BE32-E72D297353CC}">
              <c16:uniqueId val="{00000001-A770-4B30-83D6-9D04522AE24A}"/>
            </c:ext>
          </c:extLst>
        </c:ser>
        <c:ser>
          <c:idx val="2"/>
          <c:order val="2"/>
          <c:spPr>
            <a:ln w="28575" cap="rnd">
              <a:solidFill>
                <a:schemeClr val="accent3"/>
              </a:solidFill>
              <a:round/>
            </a:ln>
            <a:effectLst/>
          </c:spPr>
          <c:marker>
            <c:symbol val="none"/>
          </c:marker>
          <c:val>
            <c:numRef>
              <c:f>Schedules!$F$40:$AC$40</c:f>
              <c:numCache>
                <c:formatCode>0.00</c:formatCode>
                <c:ptCount val="24"/>
                <c:pt idx="0">
                  <c:v>0</c:v>
                </c:pt>
                <c:pt idx="1">
                  <c:v>0</c:v>
                </c:pt>
                <c:pt idx="2">
                  <c:v>0</c:v>
                </c:pt>
                <c:pt idx="3">
                  <c:v>0</c:v>
                </c:pt>
                <c:pt idx="4">
                  <c:v>0</c:v>
                </c:pt>
                <c:pt idx="5">
                  <c:v>0</c:v>
                </c:pt>
                <c:pt idx="6">
                  <c:v>0</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0</c:v>
                </c:pt>
              </c:numCache>
            </c:numRef>
          </c:val>
          <c:smooth val="0"/>
          <c:extLst>
            <c:ext xmlns:c16="http://schemas.microsoft.com/office/drawing/2014/chart" uri="{C3380CC4-5D6E-409C-BE32-E72D297353CC}">
              <c16:uniqueId val="{00000002-A770-4B30-83D6-9D04522AE24A}"/>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Schedules!$C$360</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Schedules!$E$41</c:f>
              <c:strCache>
                <c:ptCount val="1"/>
                <c:pt idx="0">
                  <c:v>Weekday</c:v>
                </c:pt>
              </c:strCache>
            </c:strRef>
          </c:tx>
          <c:spPr>
            <a:ln w="28575" cap="rnd">
              <a:solidFill>
                <a:schemeClr val="accent1"/>
              </a:solidFill>
              <a:round/>
            </a:ln>
            <a:effectLst/>
          </c:spPr>
          <c:marker>
            <c:symbol val="none"/>
          </c:marker>
          <c:val>
            <c:numRef>
              <c:f>Schedules!$F$41:$AC$41</c:f>
              <c:numCache>
                <c:formatCode>0.00</c:formatCode>
                <c:ptCount val="24"/>
                <c:pt idx="0">
                  <c:v>0</c:v>
                </c:pt>
                <c:pt idx="1">
                  <c:v>0</c:v>
                </c:pt>
                <c:pt idx="2">
                  <c:v>0</c:v>
                </c:pt>
                <c:pt idx="3">
                  <c:v>0</c:v>
                </c:pt>
                <c:pt idx="4">
                  <c:v>0</c:v>
                </c:pt>
                <c:pt idx="5">
                  <c:v>0</c:v>
                </c:pt>
                <c:pt idx="6">
                  <c:v>0</c:v>
                </c:pt>
                <c:pt idx="7">
                  <c:v>0</c:v>
                </c:pt>
                <c:pt idx="8">
                  <c:v>0</c:v>
                </c:pt>
                <c:pt idx="9">
                  <c:v>0.05</c:v>
                </c:pt>
                <c:pt idx="10">
                  <c:v>0.05</c:v>
                </c:pt>
                <c:pt idx="11">
                  <c:v>0.35</c:v>
                </c:pt>
                <c:pt idx="12">
                  <c:v>0.05</c:v>
                </c:pt>
                <c:pt idx="13">
                  <c:v>0.05</c:v>
                </c:pt>
                <c:pt idx="14">
                  <c:v>0.05</c:v>
                </c:pt>
                <c:pt idx="15">
                  <c:v>0.05</c:v>
                </c:pt>
                <c:pt idx="16">
                  <c:v>0.05</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0-C162-426D-B977-592351728654}"/>
            </c:ext>
          </c:extLst>
        </c:ser>
        <c:ser>
          <c:idx val="1"/>
          <c:order val="1"/>
          <c:tx>
            <c:strRef>
              <c:f>Schedules!$E$42</c:f>
              <c:strCache>
                <c:ptCount val="1"/>
                <c:pt idx="0">
                  <c:v>Saturday</c:v>
                </c:pt>
              </c:strCache>
            </c:strRef>
          </c:tx>
          <c:spPr>
            <a:ln w="28575" cap="rnd">
              <a:solidFill>
                <a:schemeClr val="accent2"/>
              </a:solidFill>
              <a:round/>
            </a:ln>
            <a:effectLst/>
          </c:spPr>
          <c:marker>
            <c:symbol val="none"/>
          </c:marker>
          <c:val>
            <c:numRef>
              <c:f>Schedules!$F$42:$AC$42</c:f>
              <c:numCache>
                <c:formatCode>0.00</c:formatCode>
                <c:ptCount val="24"/>
                <c:pt idx="0">
                  <c:v>0</c:v>
                </c:pt>
                <c:pt idx="1">
                  <c:v>0</c:v>
                </c:pt>
                <c:pt idx="2">
                  <c:v>0</c:v>
                </c:pt>
                <c:pt idx="3">
                  <c:v>0</c:v>
                </c:pt>
                <c:pt idx="4">
                  <c:v>0</c:v>
                </c:pt>
                <c:pt idx="5">
                  <c:v>0</c:v>
                </c:pt>
                <c:pt idx="6">
                  <c:v>0</c:v>
                </c:pt>
                <c:pt idx="7">
                  <c:v>0</c:v>
                </c:pt>
                <c:pt idx="8">
                  <c:v>0</c:v>
                </c:pt>
                <c:pt idx="9">
                  <c:v>0.05</c:v>
                </c:pt>
                <c:pt idx="10">
                  <c:v>0.05</c:v>
                </c:pt>
                <c:pt idx="11">
                  <c:v>0.2</c:v>
                </c:pt>
                <c:pt idx="12">
                  <c:v>0</c:v>
                </c:pt>
                <c:pt idx="13">
                  <c:v>0</c:v>
                </c:pt>
                <c:pt idx="14">
                  <c:v>0</c:v>
                </c:pt>
                <c:pt idx="15">
                  <c:v>0</c:v>
                </c:pt>
                <c:pt idx="16">
                  <c:v>0</c:v>
                </c:pt>
                <c:pt idx="17">
                  <c:v>0</c:v>
                </c:pt>
                <c:pt idx="18">
                  <c:v>0</c:v>
                </c:pt>
                <c:pt idx="19">
                  <c:v>0.65</c:v>
                </c:pt>
                <c:pt idx="20">
                  <c:v>0.3</c:v>
                </c:pt>
                <c:pt idx="21">
                  <c:v>0</c:v>
                </c:pt>
                <c:pt idx="22">
                  <c:v>0</c:v>
                </c:pt>
                <c:pt idx="23">
                  <c:v>0</c:v>
                </c:pt>
              </c:numCache>
            </c:numRef>
          </c:val>
          <c:smooth val="0"/>
          <c:extLst>
            <c:ext xmlns:c16="http://schemas.microsoft.com/office/drawing/2014/chart" uri="{C3380CC4-5D6E-409C-BE32-E72D297353CC}">
              <c16:uniqueId val="{00000001-C162-426D-B977-592351728654}"/>
            </c:ext>
          </c:extLst>
        </c:ser>
        <c:ser>
          <c:idx val="2"/>
          <c:order val="2"/>
          <c:tx>
            <c:strRef>
              <c:f>Schedules!$E$43</c:f>
              <c:strCache>
                <c:ptCount val="1"/>
                <c:pt idx="0">
                  <c:v>Sunday</c:v>
                </c:pt>
              </c:strCache>
            </c:strRef>
          </c:tx>
          <c:spPr>
            <a:ln w="28575" cap="rnd">
              <a:solidFill>
                <a:schemeClr val="accent3"/>
              </a:solidFill>
              <a:round/>
            </a:ln>
            <a:effectLst/>
          </c:spPr>
          <c:marker>
            <c:symbol val="none"/>
          </c:marker>
          <c:val>
            <c:numRef>
              <c:f>Schedules!$F$43:$AC$43</c:f>
              <c:numCache>
                <c:formatCode>0.00</c:formatCode>
                <c:ptCount val="24"/>
                <c:pt idx="0">
                  <c:v>0</c:v>
                </c:pt>
                <c:pt idx="1">
                  <c:v>0</c:v>
                </c:pt>
                <c:pt idx="2">
                  <c:v>0</c:v>
                </c:pt>
                <c:pt idx="3">
                  <c:v>0</c:v>
                </c:pt>
                <c:pt idx="4">
                  <c:v>0</c:v>
                </c:pt>
                <c:pt idx="5">
                  <c:v>0</c:v>
                </c:pt>
                <c:pt idx="6">
                  <c:v>0</c:v>
                </c:pt>
                <c:pt idx="7">
                  <c:v>0</c:v>
                </c:pt>
                <c:pt idx="8">
                  <c:v>0</c:v>
                </c:pt>
                <c:pt idx="9">
                  <c:v>0.05</c:v>
                </c:pt>
                <c:pt idx="10">
                  <c:v>0.05</c:v>
                </c:pt>
                <c:pt idx="11">
                  <c:v>0.1</c:v>
                </c:pt>
                <c:pt idx="12">
                  <c:v>0</c:v>
                </c:pt>
                <c:pt idx="13">
                  <c:v>0</c:v>
                </c:pt>
                <c:pt idx="14">
                  <c:v>0</c:v>
                </c:pt>
                <c:pt idx="15">
                  <c:v>0</c:v>
                </c:pt>
                <c:pt idx="16">
                  <c:v>0</c:v>
                </c:pt>
                <c:pt idx="17">
                  <c:v>0</c:v>
                </c:pt>
                <c:pt idx="18">
                  <c:v>0</c:v>
                </c:pt>
                <c:pt idx="19">
                  <c:v>0.65</c:v>
                </c:pt>
                <c:pt idx="20">
                  <c:v>0.3</c:v>
                </c:pt>
                <c:pt idx="21">
                  <c:v>0</c:v>
                </c:pt>
                <c:pt idx="22">
                  <c:v>0</c:v>
                </c:pt>
                <c:pt idx="23">
                  <c:v>0</c:v>
                </c:pt>
              </c:numCache>
            </c:numRef>
          </c:val>
          <c:smooth val="0"/>
          <c:extLst>
            <c:ext xmlns:c16="http://schemas.microsoft.com/office/drawing/2014/chart" uri="{C3380CC4-5D6E-409C-BE32-E72D297353CC}">
              <c16:uniqueId val="{00000002-C162-426D-B977-592351728654}"/>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sz="1000" b="1" i="0" u="none" strike="noStrike" kern="1200" spc="0" baseline="0">
                <a:solidFill>
                  <a:sysClr val="windowText" lastClr="000000"/>
                </a:solidFill>
                <a:latin typeface="Arial" panose="020B0604020202020204" pitchFamily="34" charset="0"/>
                <a:cs typeface="Arial" panose="020B0604020202020204" pitchFamily="34" charset="0"/>
              </a:rPr>
              <a:t>Assembly Elevator</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0-3B2F-4A2E-8836-1055055D3EFB}"/>
            </c:ext>
          </c:extLst>
        </c:ser>
        <c:ser>
          <c:idx val="1"/>
          <c:order val="1"/>
          <c:spPr>
            <a:ln w="28575" cap="rnd">
              <a:solidFill>
                <a:schemeClr val="accent2"/>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1-3B2F-4A2E-8836-1055055D3EFB}"/>
            </c:ext>
          </c:extLst>
        </c:ser>
        <c:ser>
          <c:idx val="2"/>
          <c:order val="2"/>
          <c:spPr>
            <a:ln w="28575" cap="rnd">
              <a:solidFill>
                <a:schemeClr val="accent3"/>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2-3B2F-4A2E-8836-1055055D3EFB}"/>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Schedules!$C$354</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Schedules!$E$35</c:f>
              <c:strCache>
                <c:ptCount val="1"/>
                <c:pt idx="0">
                  <c:v>Weekday</c:v>
                </c:pt>
              </c:strCache>
            </c:strRef>
          </c:tx>
          <c:spPr>
            <a:ln w="28575" cap="rnd">
              <a:solidFill>
                <a:schemeClr val="accent1"/>
              </a:solidFill>
              <a:round/>
            </a:ln>
            <a:effectLst/>
          </c:spPr>
          <c:marker>
            <c:symbol val="none"/>
          </c:marker>
          <c:val>
            <c:numRef>
              <c:f>Schedules!$F$35:$AC$35</c:f>
              <c:numCache>
                <c:formatCode>0.00</c:formatCode>
                <c:ptCount val="24"/>
                <c:pt idx="0">
                  <c:v>0.05</c:v>
                </c:pt>
                <c:pt idx="1">
                  <c:v>0.05</c:v>
                </c:pt>
                <c:pt idx="2">
                  <c:v>0.05</c:v>
                </c:pt>
                <c:pt idx="3">
                  <c:v>0.05</c:v>
                </c:pt>
                <c:pt idx="4">
                  <c:v>0.05</c:v>
                </c:pt>
                <c:pt idx="5">
                  <c:v>0.05</c:v>
                </c:pt>
                <c:pt idx="6">
                  <c:v>0.4</c:v>
                </c:pt>
                <c:pt idx="7">
                  <c:v>0.4</c:v>
                </c:pt>
                <c:pt idx="8">
                  <c:v>0.4</c:v>
                </c:pt>
                <c:pt idx="9">
                  <c:v>0.75</c:v>
                </c:pt>
                <c:pt idx="10">
                  <c:v>0.75</c:v>
                </c:pt>
                <c:pt idx="11">
                  <c:v>0.75</c:v>
                </c:pt>
                <c:pt idx="12">
                  <c:v>0.75</c:v>
                </c:pt>
                <c:pt idx="13">
                  <c:v>0.75</c:v>
                </c:pt>
                <c:pt idx="14">
                  <c:v>0.75</c:v>
                </c:pt>
                <c:pt idx="15">
                  <c:v>0.75</c:v>
                </c:pt>
                <c:pt idx="16">
                  <c:v>0.75</c:v>
                </c:pt>
                <c:pt idx="17">
                  <c:v>0.75</c:v>
                </c:pt>
                <c:pt idx="18">
                  <c:v>0.75</c:v>
                </c:pt>
                <c:pt idx="19">
                  <c:v>0.75</c:v>
                </c:pt>
                <c:pt idx="20">
                  <c:v>0.75</c:v>
                </c:pt>
                <c:pt idx="21">
                  <c:v>0.75</c:v>
                </c:pt>
                <c:pt idx="22">
                  <c:v>0.25</c:v>
                </c:pt>
                <c:pt idx="23">
                  <c:v>0.05</c:v>
                </c:pt>
              </c:numCache>
            </c:numRef>
          </c:val>
          <c:smooth val="0"/>
          <c:extLst>
            <c:ext xmlns:c16="http://schemas.microsoft.com/office/drawing/2014/chart" uri="{C3380CC4-5D6E-409C-BE32-E72D297353CC}">
              <c16:uniqueId val="{00000000-28B8-4B6C-8B46-7B661D6EF85B}"/>
            </c:ext>
          </c:extLst>
        </c:ser>
        <c:ser>
          <c:idx val="1"/>
          <c:order val="1"/>
          <c:tx>
            <c:strRef>
              <c:f>Schedules!$E$36</c:f>
              <c:strCache>
                <c:ptCount val="1"/>
                <c:pt idx="0">
                  <c:v>Saturday</c:v>
                </c:pt>
              </c:strCache>
            </c:strRef>
          </c:tx>
          <c:spPr>
            <a:ln w="28575" cap="rnd">
              <a:solidFill>
                <a:schemeClr val="accent2"/>
              </a:solidFill>
              <a:round/>
            </a:ln>
            <a:effectLst/>
          </c:spPr>
          <c:marker>
            <c:symbol val="none"/>
          </c:marker>
          <c:val>
            <c:numRef>
              <c:f>Schedules!$F$36:$AC$36</c:f>
              <c:numCache>
                <c:formatCode>0.00</c:formatCode>
                <c:ptCount val="24"/>
                <c:pt idx="0">
                  <c:v>0.05</c:v>
                </c:pt>
                <c:pt idx="1">
                  <c:v>0.05</c:v>
                </c:pt>
                <c:pt idx="2">
                  <c:v>0.05</c:v>
                </c:pt>
                <c:pt idx="3">
                  <c:v>0.05</c:v>
                </c:pt>
                <c:pt idx="4">
                  <c:v>0.05</c:v>
                </c:pt>
                <c:pt idx="5">
                  <c:v>0.05</c:v>
                </c:pt>
                <c:pt idx="6">
                  <c:v>0.05</c:v>
                </c:pt>
                <c:pt idx="7">
                  <c:v>0.3</c:v>
                </c:pt>
                <c:pt idx="8">
                  <c:v>0.3</c:v>
                </c:pt>
                <c:pt idx="9">
                  <c:v>0.5</c:v>
                </c:pt>
                <c:pt idx="10">
                  <c:v>0.5</c:v>
                </c:pt>
                <c:pt idx="11">
                  <c:v>0.5</c:v>
                </c:pt>
                <c:pt idx="12">
                  <c:v>0.5</c:v>
                </c:pt>
                <c:pt idx="13">
                  <c:v>0.5</c:v>
                </c:pt>
                <c:pt idx="14">
                  <c:v>0.5</c:v>
                </c:pt>
                <c:pt idx="15">
                  <c:v>0.5</c:v>
                </c:pt>
                <c:pt idx="16">
                  <c:v>0.5</c:v>
                </c:pt>
                <c:pt idx="17">
                  <c:v>0.5</c:v>
                </c:pt>
                <c:pt idx="18">
                  <c:v>0.5</c:v>
                </c:pt>
                <c:pt idx="19">
                  <c:v>0.5</c:v>
                </c:pt>
                <c:pt idx="20">
                  <c:v>0.5</c:v>
                </c:pt>
                <c:pt idx="21">
                  <c:v>0.5</c:v>
                </c:pt>
                <c:pt idx="22">
                  <c:v>0.5</c:v>
                </c:pt>
                <c:pt idx="23">
                  <c:v>0.05</c:v>
                </c:pt>
              </c:numCache>
            </c:numRef>
          </c:val>
          <c:smooth val="0"/>
          <c:extLst>
            <c:ext xmlns:c16="http://schemas.microsoft.com/office/drawing/2014/chart" uri="{C3380CC4-5D6E-409C-BE32-E72D297353CC}">
              <c16:uniqueId val="{00000001-28B8-4B6C-8B46-7B661D6EF85B}"/>
            </c:ext>
          </c:extLst>
        </c:ser>
        <c:ser>
          <c:idx val="2"/>
          <c:order val="2"/>
          <c:tx>
            <c:strRef>
              <c:f>Schedules!$E$37</c:f>
              <c:strCache>
                <c:ptCount val="1"/>
                <c:pt idx="0">
                  <c:v>Sunday</c:v>
                </c:pt>
              </c:strCache>
            </c:strRef>
          </c:tx>
          <c:spPr>
            <a:ln w="28575" cap="rnd">
              <a:solidFill>
                <a:schemeClr val="accent3"/>
              </a:solidFill>
              <a:round/>
            </a:ln>
            <a:effectLst/>
          </c:spPr>
          <c:marker>
            <c:symbol val="none"/>
          </c:marker>
          <c:val>
            <c:numRef>
              <c:f>Schedules!$F$37:$AC$37</c:f>
              <c:numCache>
                <c:formatCode>0.00</c:formatCode>
                <c:ptCount val="24"/>
                <c:pt idx="0">
                  <c:v>0.05</c:v>
                </c:pt>
                <c:pt idx="1">
                  <c:v>0.05</c:v>
                </c:pt>
                <c:pt idx="2">
                  <c:v>0.05</c:v>
                </c:pt>
                <c:pt idx="3">
                  <c:v>0.05</c:v>
                </c:pt>
                <c:pt idx="4">
                  <c:v>0.05</c:v>
                </c:pt>
                <c:pt idx="5">
                  <c:v>0.05</c:v>
                </c:pt>
                <c:pt idx="6">
                  <c:v>0.05</c:v>
                </c:pt>
                <c:pt idx="7">
                  <c:v>0.3</c:v>
                </c:pt>
                <c:pt idx="8">
                  <c:v>0.3</c:v>
                </c:pt>
                <c:pt idx="9">
                  <c:v>0.3</c:v>
                </c:pt>
                <c:pt idx="10">
                  <c:v>0.3</c:v>
                </c:pt>
                <c:pt idx="11">
                  <c:v>0.3</c:v>
                </c:pt>
                <c:pt idx="12">
                  <c:v>0.65</c:v>
                </c:pt>
                <c:pt idx="13">
                  <c:v>0.65</c:v>
                </c:pt>
                <c:pt idx="14">
                  <c:v>0.65</c:v>
                </c:pt>
                <c:pt idx="15">
                  <c:v>0.65</c:v>
                </c:pt>
                <c:pt idx="16">
                  <c:v>0.65</c:v>
                </c:pt>
                <c:pt idx="17">
                  <c:v>0.65</c:v>
                </c:pt>
                <c:pt idx="18">
                  <c:v>0.65</c:v>
                </c:pt>
                <c:pt idx="19">
                  <c:v>0.65</c:v>
                </c:pt>
                <c:pt idx="20">
                  <c:v>0.65</c:v>
                </c:pt>
                <c:pt idx="21">
                  <c:v>0.65</c:v>
                </c:pt>
                <c:pt idx="22">
                  <c:v>0.05</c:v>
                </c:pt>
                <c:pt idx="23">
                  <c:v>0.05</c:v>
                </c:pt>
              </c:numCache>
            </c:numRef>
          </c:val>
          <c:smooth val="0"/>
          <c:extLst>
            <c:ext xmlns:c16="http://schemas.microsoft.com/office/drawing/2014/chart" uri="{C3380CC4-5D6E-409C-BE32-E72D297353CC}">
              <c16:uniqueId val="{00000002-28B8-4B6C-8B46-7B661D6EF85B}"/>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Schedules!$C$363</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Schedules!$E$50</c:f>
              <c:strCache>
                <c:ptCount val="1"/>
                <c:pt idx="0">
                  <c:v>Weekday</c:v>
                </c:pt>
              </c:strCache>
            </c:strRef>
          </c:tx>
          <c:spPr>
            <a:ln w="28575" cap="rnd">
              <a:solidFill>
                <a:schemeClr val="accent1"/>
              </a:solidFill>
              <a:round/>
            </a:ln>
            <a:effectLst/>
          </c:spPr>
          <c:marker>
            <c:symbol val="none"/>
          </c:marker>
          <c:val>
            <c:numRef>
              <c:f>Schedules!$F$50:$AC$50</c:f>
              <c:numCache>
                <c:formatCode>General</c:formatCode>
                <c:ptCount val="24"/>
                <c:pt idx="0">
                  <c:v>60</c:v>
                </c:pt>
                <c:pt idx="1">
                  <c:v>60</c:v>
                </c:pt>
                <c:pt idx="2">
                  <c:v>60</c:v>
                </c:pt>
                <c:pt idx="3">
                  <c:v>60</c:v>
                </c:pt>
                <c:pt idx="4">
                  <c:v>60</c:v>
                </c:pt>
                <c:pt idx="5">
                  <c:v>60</c:v>
                </c:pt>
                <c:pt idx="6">
                  <c:v>60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60</c:v>
                </c:pt>
              </c:numCache>
            </c:numRef>
          </c:val>
          <c:smooth val="0"/>
          <c:extLst>
            <c:ext xmlns:c16="http://schemas.microsoft.com/office/drawing/2014/chart" uri="{C3380CC4-5D6E-409C-BE32-E72D297353CC}">
              <c16:uniqueId val="{00000000-CD96-4D89-8438-B50A59B80E2B}"/>
            </c:ext>
          </c:extLst>
        </c:ser>
        <c:ser>
          <c:idx val="1"/>
          <c:order val="1"/>
          <c:tx>
            <c:strRef>
              <c:f>Schedules!$E$51</c:f>
              <c:strCache>
                <c:ptCount val="1"/>
                <c:pt idx="0">
                  <c:v>Saturday</c:v>
                </c:pt>
              </c:strCache>
            </c:strRef>
          </c:tx>
          <c:spPr>
            <a:ln w="28575" cap="rnd">
              <a:solidFill>
                <a:schemeClr val="accent2"/>
              </a:solidFill>
              <a:round/>
            </a:ln>
            <a:effectLst/>
          </c:spPr>
          <c:marker>
            <c:symbol val="none"/>
          </c:marker>
          <c:val>
            <c:numRef>
              <c:f>Schedules!$F$51:$AC$51</c:f>
              <c:numCache>
                <c:formatCode>General</c:formatCode>
                <c:ptCount val="24"/>
                <c:pt idx="0">
                  <c:v>60</c:v>
                </c:pt>
                <c:pt idx="1">
                  <c:v>60</c:v>
                </c:pt>
                <c:pt idx="2">
                  <c:v>60</c:v>
                </c:pt>
                <c:pt idx="3">
                  <c:v>60</c:v>
                </c:pt>
                <c:pt idx="4">
                  <c:v>60</c:v>
                </c:pt>
                <c:pt idx="5">
                  <c:v>60</c:v>
                </c:pt>
                <c:pt idx="6">
                  <c:v>60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60</c:v>
                </c:pt>
              </c:numCache>
            </c:numRef>
          </c:val>
          <c:smooth val="0"/>
          <c:extLst>
            <c:ext xmlns:c16="http://schemas.microsoft.com/office/drawing/2014/chart" uri="{C3380CC4-5D6E-409C-BE32-E72D297353CC}">
              <c16:uniqueId val="{00000001-CD96-4D89-8438-B50A59B80E2B}"/>
            </c:ext>
          </c:extLst>
        </c:ser>
        <c:ser>
          <c:idx val="2"/>
          <c:order val="2"/>
          <c:tx>
            <c:strRef>
              <c:f>Schedules!$E$52</c:f>
              <c:strCache>
                <c:ptCount val="1"/>
                <c:pt idx="0">
                  <c:v>Sunday</c:v>
                </c:pt>
              </c:strCache>
            </c:strRef>
          </c:tx>
          <c:spPr>
            <a:ln w="28575" cap="rnd">
              <a:solidFill>
                <a:schemeClr val="accent3"/>
              </a:solidFill>
              <a:round/>
            </a:ln>
            <a:effectLst/>
          </c:spPr>
          <c:marker>
            <c:symbol val="none"/>
          </c:marker>
          <c:val>
            <c:numRef>
              <c:f>Schedules!$F$52:$AC$52</c:f>
              <c:numCache>
                <c:formatCode>General</c:formatCode>
                <c:ptCount val="24"/>
                <c:pt idx="0">
                  <c:v>60</c:v>
                </c:pt>
                <c:pt idx="1">
                  <c:v>60</c:v>
                </c:pt>
                <c:pt idx="2">
                  <c:v>60</c:v>
                </c:pt>
                <c:pt idx="3">
                  <c:v>60</c:v>
                </c:pt>
                <c:pt idx="4">
                  <c:v>60</c:v>
                </c:pt>
                <c:pt idx="5">
                  <c:v>60</c:v>
                </c:pt>
                <c:pt idx="6">
                  <c:v>60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60</c:v>
                </c:pt>
              </c:numCache>
            </c:numRef>
          </c:val>
          <c:smooth val="0"/>
          <c:extLst>
            <c:ext xmlns:c16="http://schemas.microsoft.com/office/drawing/2014/chart" uri="{C3380CC4-5D6E-409C-BE32-E72D297353CC}">
              <c16:uniqueId val="{00000002-CD96-4D89-8438-B50A59B80E2B}"/>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80"/>
          <c:min val="6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5"/>
        <c:minorUnit val="2"/>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Schedules!$C$366</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Schedules!$E$53</c:f>
              <c:strCache>
                <c:ptCount val="1"/>
                <c:pt idx="0">
                  <c:v>Weekday</c:v>
                </c:pt>
              </c:strCache>
            </c:strRef>
          </c:tx>
          <c:spPr>
            <a:ln w="28575" cap="rnd">
              <a:solidFill>
                <a:schemeClr val="accent1"/>
              </a:solidFill>
              <a:round/>
            </a:ln>
            <a:effectLst/>
          </c:spPr>
          <c:marker>
            <c:symbol val="none"/>
          </c:marker>
          <c:val>
            <c:numRef>
              <c:f>Schedules!$F$53:$AC$53</c:f>
              <c:numCache>
                <c:formatCode>General</c:formatCode>
                <c:ptCount val="24"/>
                <c:pt idx="0">
                  <c:v>85</c:v>
                </c:pt>
                <c:pt idx="1">
                  <c:v>85</c:v>
                </c:pt>
                <c:pt idx="2">
                  <c:v>85</c:v>
                </c:pt>
                <c:pt idx="3">
                  <c:v>85</c:v>
                </c:pt>
                <c:pt idx="4">
                  <c:v>85</c:v>
                </c:pt>
                <c:pt idx="5">
                  <c:v>85</c:v>
                </c:pt>
                <c:pt idx="6">
                  <c:v>85</c:v>
                </c:pt>
                <c:pt idx="7">
                  <c:v>75</c:v>
                </c:pt>
                <c:pt idx="8">
                  <c:v>75</c:v>
                </c:pt>
                <c:pt idx="9">
                  <c:v>75</c:v>
                </c:pt>
                <c:pt idx="10">
                  <c:v>75</c:v>
                </c:pt>
                <c:pt idx="11">
                  <c:v>75</c:v>
                </c:pt>
                <c:pt idx="12">
                  <c:v>75</c:v>
                </c:pt>
                <c:pt idx="13">
                  <c:v>75</c:v>
                </c:pt>
                <c:pt idx="14">
                  <c:v>75</c:v>
                </c:pt>
                <c:pt idx="15">
                  <c:v>75</c:v>
                </c:pt>
                <c:pt idx="16">
                  <c:v>75</c:v>
                </c:pt>
                <c:pt idx="17">
                  <c:v>75</c:v>
                </c:pt>
                <c:pt idx="18">
                  <c:v>75</c:v>
                </c:pt>
                <c:pt idx="19">
                  <c:v>75</c:v>
                </c:pt>
                <c:pt idx="20">
                  <c:v>75</c:v>
                </c:pt>
                <c:pt idx="21">
                  <c:v>75</c:v>
                </c:pt>
                <c:pt idx="22">
                  <c:v>75</c:v>
                </c:pt>
                <c:pt idx="23">
                  <c:v>85</c:v>
                </c:pt>
              </c:numCache>
            </c:numRef>
          </c:val>
          <c:smooth val="0"/>
          <c:extLst>
            <c:ext xmlns:c16="http://schemas.microsoft.com/office/drawing/2014/chart" uri="{C3380CC4-5D6E-409C-BE32-E72D297353CC}">
              <c16:uniqueId val="{00000000-33BB-42D3-880E-C4C7F85D3D80}"/>
            </c:ext>
          </c:extLst>
        </c:ser>
        <c:ser>
          <c:idx val="1"/>
          <c:order val="1"/>
          <c:tx>
            <c:strRef>
              <c:f>Schedules!$E$54</c:f>
              <c:strCache>
                <c:ptCount val="1"/>
                <c:pt idx="0">
                  <c:v>Saturday</c:v>
                </c:pt>
              </c:strCache>
            </c:strRef>
          </c:tx>
          <c:spPr>
            <a:ln w="28575" cap="rnd">
              <a:solidFill>
                <a:schemeClr val="accent2"/>
              </a:solidFill>
              <a:round/>
            </a:ln>
            <a:effectLst/>
          </c:spPr>
          <c:marker>
            <c:symbol val="none"/>
          </c:marker>
          <c:val>
            <c:numRef>
              <c:f>Schedules!$F$54:$AC$54</c:f>
              <c:numCache>
                <c:formatCode>General</c:formatCode>
                <c:ptCount val="24"/>
                <c:pt idx="0">
                  <c:v>85</c:v>
                </c:pt>
                <c:pt idx="1">
                  <c:v>85</c:v>
                </c:pt>
                <c:pt idx="2">
                  <c:v>85</c:v>
                </c:pt>
                <c:pt idx="3">
                  <c:v>85</c:v>
                </c:pt>
                <c:pt idx="4">
                  <c:v>85</c:v>
                </c:pt>
                <c:pt idx="5">
                  <c:v>85</c:v>
                </c:pt>
                <c:pt idx="6">
                  <c:v>85</c:v>
                </c:pt>
                <c:pt idx="7">
                  <c:v>75</c:v>
                </c:pt>
                <c:pt idx="8">
                  <c:v>75</c:v>
                </c:pt>
                <c:pt idx="9">
                  <c:v>75</c:v>
                </c:pt>
                <c:pt idx="10">
                  <c:v>75</c:v>
                </c:pt>
                <c:pt idx="11">
                  <c:v>75</c:v>
                </c:pt>
                <c:pt idx="12">
                  <c:v>75</c:v>
                </c:pt>
                <c:pt idx="13">
                  <c:v>75</c:v>
                </c:pt>
                <c:pt idx="14">
                  <c:v>75</c:v>
                </c:pt>
                <c:pt idx="15">
                  <c:v>75</c:v>
                </c:pt>
                <c:pt idx="16">
                  <c:v>75</c:v>
                </c:pt>
                <c:pt idx="17">
                  <c:v>75</c:v>
                </c:pt>
                <c:pt idx="18">
                  <c:v>75</c:v>
                </c:pt>
                <c:pt idx="19">
                  <c:v>75</c:v>
                </c:pt>
                <c:pt idx="20">
                  <c:v>75</c:v>
                </c:pt>
                <c:pt idx="21">
                  <c:v>75</c:v>
                </c:pt>
                <c:pt idx="22">
                  <c:v>75</c:v>
                </c:pt>
                <c:pt idx="23">
                  <c:v>85</c:v>
                </c:pt>
              </c:numCache>
            </c:numRef>
          </c:val>
          <c:smooth val="0"/>
          <c:extLst>
            <c:ext xmlns:c16="http://schemas.microsoft.com/office/drawing/2014/chart" uri="{C3380CC4-5D6E-409C-BE32-E72D297353CC}">
              <c16:uniqueId val="{00000001-33BB-42D3-880E-C4C7F85D3D80}"/>
            </c:ext>
          </c:extLst>
        </c:ser>
        <c:ser>
          <c:idx val="2"/>
          <c:order val="2"/>
          <c:tx>
            <c:strRef>
              <c:f>Schedules!$E$55</c:f>
              <c:strCache>
                <c:ptCount val="1"/>
                <c:pt idx="0">
                  <c:v>Sunday</c:v>
                </c:pt>
              </c:strCache>
            </c:strRef>
          </c:tx>
          <c:spPr>
            <a:ln w="28575" cap="rnd">
              <a:solidFill>
                <a:schemeClr val="accent3"/>
              </a:solidFill>
              <a:round/>
            </a:ln>
            <a:effectLst/>
          </c:spPr>
          <c:marker>
            <c:symbol val="none"/>
          </c:marker>
          <c:val>
            <c:numRef>
              <c:f>Schedules!$F$55:$AC$55</c:f>
              <c:numCache>
                <c:formatCode>General</c:formatCode>
                <c:ptCount val="24"/>
                <c:pt idx="0">
                  <c:v>85</c:v>
                </c:pt>
                <c:pt idx="1">
                  <c:v>85</c:v>
                </c:pt>
                <c:pt idx="2">
                  <c:v>85</c:v>
                </c:pt>
                <c:pt idx="3">
                  <c:v>85</c:v>
                </c:pt>
                <c:pt idx="4">
                  <c:v>85</c:v>
                </c:pt>
                <c:pt idx="5">
                  <c:v>85</c:v>
                </c:pt>
                <c:pt idx="6">
                  <c:v>85</c:v>
                </c:pt>
                <c:pt idx="7">
                  <c:v>75</c:v>
                </c:pt>
                <c:pt idx="8">
                  <c:v>75</c:v>
                </c:pt>
                <c:pt idx="9">
                  <c:v>75</c:v>
                </c:pt>
                <c:pt idx="10">
                  <c:v>75</c:v>
                </c:pt>
                <c:pt idx="11">
                  <c:v>75</c:v>
                </c:pt>
                <c:pt idx="12">
                  <c:v>75</c:v>
                </c:pt>
                <c:pt idx="13">
                  <c:v>75</c:v>
                </c:pt>
                <c:pt idx="14">
                  <c:v>75</c:v>
                </c:pt>
                <c:pt idx="15">
                  <c:v>75</c:v>
                </c:pt>
                <c:pt idx="16">
                  <c:v>75</c:v>
                </c:pt>
                <c:pt idx="17">
                  <c:v>75</c:v>
                </c:pt>
                <c:pt idx="18">
                  <c:v>75</c:v>
                </c:pt>
                <c:pt idx="19">
                  <c:v>75</c:v>
                </c:pt>
                <c:pt idx="20">
                  <c:v>75</c:v>
                </c:pt>
                <c:pt idx="21">
                  <c:v>75</c:v>
                </c:pt>
                <c:pt idx="22">
                  <c:v>75</c:v>
                </c:pt>
                <c:pt idx="23">
                  <c:v>85</c:v>
                </c:pt>
              </c:numCache>
            </c:numRef>
          </c:val>
          <c:smooth val="0"/>
          <c:extLst>
            <c:ext xmlns:c16="http://schemas.microsoft.com/office/drawing/2014/chart" uri="{C3380CC4-5D6E-409C-BE32-E72D297353CC}">
              <c16:uniqueId val="{00000002-33BB-42D3-880E-C4C7F85D3D80}"/>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00"/>
          <c:min val="6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10"/>
        <c:minorUnit val="2"/>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Schedules!$C$219</c:f>
          <c:strCache>
            <c:ptCount val="1"/>
            <c:pt idx="0">
              <c:v>Elevator</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Schedules!$E$219</c:f>
              <c:strCache>
                <c:ptCount val="1"/>
                <c:pt idx="0">
                  <c:v>Weekday</c:v>
                </c:pt>
              </c:strCache>
            </c:strRef>
          </c:tx>
          <c:spPr>
            <a:ln w="28575" cap="rnd">
              <a:solidFill>
                <a:schemeClr val="accent1"/>
              </a:solidFill>
              <a:round/>
            </a:ln>
            <a:effectLst/>
          </c:spPr>
          <c:marker>
            <c:symbol val="none"/>
          </c:marker>
          <c:val>
            <c:numRef>
              <c:f>Schedules!$F$219:$AC$219</c:f>
              <c:numCache>
                <c:formatCode>0.00</c:formatCode>
                <c:ptCount val="24"/>
                <c:pt idx="0">
                  <c:v>0.12</c:v>
                </c:pt>
                <c:pt idx="1">
                  <c:v>0.12</c:v>
                </c:pt>
                <c:pt idx="2">
                  <c:v>0.12</c:v>
                </c:pt>
                <c:pt idx="3">
                  <c:v>0.12</c:v>
                </c:pt>
                <c:pt idx="4">
                  <c:v>0.12</c:v>
                </c:pt>
                <c:pt idx="5">
                  <c:v>0.2</c:v>
                </c:pt>
                <c:pt idx="6">
                  <c:v>0.4</c:v>
                </c:pt>
                <c:pt idx="7">
                  <c:v>0.5</c:v>
                </c:pt>
                <c:pt idx="8">
                  <c:v>0.5</c:v>
                </c:pt>
                <c:pt idx="9">
                  <c:v>0.35</c:v>
                </c:pt>
                <c:pt idx="10">
                  <c:v>0.15</c:v>
                </c:pt>
                <c:pt idx="11">
                  <c:v>0.15</c:v>
                </c:pt>
                <c:pt idx="12">
                  <c:v>0.15</c:v>
                </c:pt>
                <c:pt idx="13">
                  <c:v>0.15</c:v>
                </c:pt>
                <c:pt idx="14">
                  <c:v>0.15</c:v>
                </c:pt>
                <c:pt idx="15">
                  <c:v>0.15</c:v>
                </c:pt>
                <c:pt idx="16">
                  <c:v>0.35</c:v>
                </c:pt>
                <c:pt idx="17">
                  <c:v>0.5</c:v>
                </c:pt>
                <c:pt idx="18">
                  <c:v>0.5</c:v>
                </c:pt>
                <c:pt idx="19">
                  <c:v>0.4</c:v>
                </c:pt>
                <c:pt idx="20">
                  <c:v>0.4</c:v>
                </c:pt>
                <c:pt idx="21">
                  <c:v>0.3</c:v>
                </c:pt>
                <c:pt idx="22">
                  <c:v>0.2</c:v>
                </c:pt>
                <c:pt idx="23">
                  <c:v>0.12</c:v>
                </c:pt>
              </c:numCache>
            </c:numRef>
          </c:val>
          <c:smooth val="0"/>
          <c:extLst>
            <c:ext xmlns:c16="http://schemas.microsoft.com/office/drawing/2014/chart" uri="{C3380CC4-5D6E-409C-BE32-E72D297353CC}">
              <c16:uniqueId val="{00000000-C11D-4743-8FBB-8EA5A1E3D015}"/>
            </c:ext>
          </c:extLst>
        </c:ser>
        <c:ser>
          <c:idx val="1"/>
          <c:order val="1"/>
          <c:tx>
            <c:strRef>
              <c:f>Schedules!$E$220</c:f>
              <c:strCache>
                <c:ptCount val="1"/>
                <c:pt idx="0">
                  <c:v>Saturday</c:v>
                </c:pt>
              </c:strCache>
            </c:strRef>
          </c:tx>
          <c:spPr>
            <a:ln w="28575" cap="rnd">
              <a:solidFill>
                <a:schemeClr val="accent2"/>
              </a:solidFill>
              <a:round/>
            </a:ln>
            <a:effectLst/>
          </c:spPr>
          <c:marker>
            <c:symbol val="none"/>
          </c:marker>
          <c:val>
            <c:numRef>
              <c:f>Schedules!$F$220:$AC$220</c:f>
              <c:numCache>
                <c:formatCode>0.00</c:formatCode>
                <c:ptCount val="24"/>
                <c:pt idx="0">
                  <c:v>0.12</c:v>
                </c:pt>
                <c:pt idx="1">
                  <c:v>0.12</c:v>
                </c:pt>
                <c:pt idx="2">
                  <c:v>0.12</c:v>
                </c:pt>
                <c:pt idx="3">
                  <c:v>0.12</c:v>
                </c:pt>
                <c:pt idx="4">
                  <c:v>0.12</c:v>
                </c:pt>
                <c:pt idx="5">
                  <c:v>0.2</c:v>
                </c:pt>
                <c:pt idx="6">
                  <c:v>0.4</c:v>
                </c:pt>
                <c:pt idx="7">
                  <c:v>0.5</c:v>
                </c:pt>
                <c:pt idx="8">
                  <c:v>0.5</c:v>
                </c:pt>
                <c:pt idx="9">
                  <c:v>0.35</c:v>
                </c:pt>
                <c:pt idx="10">
                  <c:v>0.15</c:v>
                </c:pt>
                <c:pt idx="11">
                  <c:v>0.15</c:v>
                </c:pt>
                <c:pt idx="12">
                  <c:v>0.15</c:v>
                </c:pt>
                <c:pt idx="13">
                  <c:v>0.15</c:v>
                </c:pt>
                <c:pt idx="14">
                  <c:v>0.15</c:v>
                </c:pt>
                <c:pt idx="15">
                  <c:v>0.15</c:v>
                </c:pt>
                <c:pt idx="16">
                  <c:v>0.35</c:v>
                </c:pt>
                <c:pt idx="17">
                  <c:v>0.5</c:v>
                </c:pt>
                <c:pt idx="18">
                  <c:v>0.5</c:v>
                </c:pt>
                <c:pt idx="19">
                  <c:v>0.4</c:v>
                </c:pt>
                <c:pt idx="20">
                  <c:v>0.4</c:v>
                </c:pt>
                <c:pt idx="21">
                  <c:v>0.3</c:v>
                </c:pt>
                <c:pt idx="22">
                  <c:v>0.2</c:v>
                </c:pt>
                <c:pt idx="23">
                  <c:v>0.12</c:v>
                </c:pt>
              </c:numCache>
            </c:numRef>
          </c:val>
          <c:smooth val="0"/>
          <c:extLst>
            <c:ext xmlns:c16="http://schemas.microsoft.com/office/drawing/2014/chart" uri="{C3380CC4-5D6E-409C-BE32-E72D297353CC}">
              <c16:uniqueId val="{00000001-C11D-4743-8FBB-8EA5A1E3D015}"/>
            </c:ext>
          </c:extLst>
        </c:ser>
        <c:ser>
          <c:idx val="2"/>
          <c:order val="2"/>
          <c:tx>
            <c:strRef>
              <c:f>Schedules!$E$221</c:f>
              <c:strCache>
                <c:ptCount val="1"/>
                <c:pt idx="0">
                  <c:v>Sunday</c:v>
                </c:pt>
              </c:strCache>
            </c:strRef>
          </c:tx>
          <c:spPr>
            <a:ln w="28575" cap="rnd">
              <a:solidFill>
                <a:schemeClr val="accent3"/>
              </a:solidFill>
              <a:round/>
            </a:ln>
            <a:effectLst/>
          </c:spPr>
          <c:marker>
            <c:symbol val="none"/>
          </c:marker>
          <c:val>
            <c:numRef>
              <c:f>Schedules!$F$221:$AC$221</c:f>
              <c:numCache>
                <c:formatCode>0.00</c:formatCode>
                <c:ptCount val="24"/>
                <c:pt idx="0">
                  <c:v>0.12</c:v>
                </c:pt>
                <c:pt idx="1">
                  <c:v>0.12</c:v>
                </c:pt>
                <c:pt idx="2">
                  <c:v>0.12</c:v>
                </c:pt>
                <c:pt idx="3">
                  <c:v>0.12</c:v>
                </c:pt>
                <c:pt idx="4">
                  <c:v>0.12</c:v>
                </c:pt>
                <c:pt idx="5">
                  <c:v>0.2</c:v>
                </c:pt>
                <c:pt idx="6">
                  <c:v>0.4</c:v>
                </c:pt>
                <c:pt idx="7">
                  <c:v>0.5</c:v>
                </c:pt>
                <c:pt idx="8">
                  <c:v>0.5</c:v>
                </c:pt>
                <c:pt idx="9">
                  <c:v>0.35</c:v>
                </c:pt>
                <c:pt idx="10">
                  <c:v>0.15</c:v>
                </c:pt>
                <c:pt idx="11">
                  <c:v>0.15</c:v>
                </c:pt>
                <c:pt idx="12">
                  <c:v>0.15</c:v>
                </c:pt>
                <c:pt idx="13">
                  <c:v>0.15</c:v>
                </c:pt>
                <c:pt idx="14">
                  <c:v>0.15</c:v>
                </c:pt>
                <c:pt idx="15">
                  <c:v>0.15</c:v>
                </c:pt>
                <c:pt idx="16">
                  <c:v>0.35</c:v>
                </c:pt>
                <c:pt idx="17">
                  <c:v>0.5</c:v>
                </c:pt>
                <c:pt idx="18">
                  <c:v>0.5</c:v>
                </c:pt>
                <c:pt idx="19">
                  <c:v>0.4</c:v>
                </c:pt>
                <c:pt idx="20">
                  <c:v>0.4</c:v>
                </c:pt>
                <c:pt idx="21">
                  <c:v>0.3</c:v>
                </c:pt>
                <c:pt idx="22">
                  <c:v>0.2</c:v>
                </c:pt>
                <c:pt idx="23">
                  <c:v>0.12</c:v>
                </c:pt>
              </c:numCache>
            </c:numRef>
          </c:val>
          <c:smooth val="0"/>
          <c:extLst>
            <c:ext xmlns:c16="http://schemas.microsoft.com/office/drawing/2014/chart" uri="{C3380CC4-5D6E-409C-BE32-E72D297353CC}">
              <c16:uniqueId val="{00000002-C11D-4743-8FBB-8EA5A1E3D01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Schedules!$C$194</c:f>
          <c:strCache>
            <c:ptCount val="1"/>
            <c:pt idx="0">
              <c:v>Occupancy</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Schedules!$E$194</c:f>
              <c:strCache>
                <c:ptCount val="1"/>
                <c:pt idx="0">
                  <c:v>Weekday</c:v>
                </c:pt>
              </c:strCache>
            </c:strRef>
          </c:tx>
          <c:spPr>
            <a:ln w="28575" cap="rnd">
              <a:solidFill>
                <a:schemeClr val="accent1"/>
              </a:solidFill>
              <a:round/>
            </a:ln>
            <a:effectLst/>
          </c:spPr>
          <c:marker>
            <c:symbol val="none"/>
          </c:marker>
          <c:val>
            <c:numRef>
              <c:f>Schedules!$F$194:$AC$194</c:f>
              <c:numCache>
                <c:formatCode>0.00</c:formatCode>
                <c:ptCount val="24"/>
                <c:pt idx="0">
                  <c:v>0</c:v>
                </c:pt>
                <c:pt idx="1">
                  <c:v>0</c:v>
                </c:pt>
                <c:pt idx="2">
                  <c:v>0</c:v>
                </c:pt>
                <c:pt idx="3">
                  <c:v>0</c:v>
                </c:pt>
                <c:pt idx="4">
                  <c:v>0</c:v>
                </c:pt>
                <c:pt idx="5">
                  <c:v>0</c:v>
                </c:pt>
                <c:pt idx="6">
                  <c:v>0.1</c:v>
                </c:pt>
                <c:pt idx="7">
                  <c:v>0.2</c:v>
                </c:pt>
                <c:pt idx="8">
                  <c:v>0.95</c:v>
                </c:pt>
                <c:pt idx="9">
                  <c:v>0.95</c:v>
                </c:pt>
                <c:pt idx="10">
                  <c:v>0.95</c:v>
                </c:pt>
                <c:pt idx="11">
                  <c:v>0.95</c:v>
                </c:pt>
                <c:pt idx="12">
                  <c:v>0.5</c:v>
                </c:pt>
                <c:pt idx="13">
                  <c:v>0.95</c:v>
                </c:pt>
                <c:pt idx="14">
                  <c:v>0.95</c:v>
                </c:pt>
                <c:pt idx="15">
                  <c:v>0.95</c:v>
                </c:pt>
                <c:pt idx="16">
                  <c:v>0.95</c:v>
                </c:pt>
                <c:pt idx="17">
                  <c:v>0.3</c:v>
                </c:pt>
                <c:pt idx="18">
                  <c:v>0.1</c:v>
                </c:pt>
                <c:pt idx="19">
                  <c:v>0.1</c:v>
                </c:pt>
                <c:pt idx="20">
                  <c:v>0.1</c:v>
                </c:pt>
                <c:pt idx="21">
                  <c:v>0.1</c:v>
                </c:pt>
                <c:pt idx="22">
                  <c:v>0.05</c:v>
                </c:pt>
                <c:pt idx="23">
                  <c:v>0.05</c:v>
                </c:pt>
              </c:numCache>
            </c:numRef>
          </c:val>
          <c:smooth val="0"/>
          <c:extLst>
            <c:ext xmlns:c16="http://schemas.microsoft.com/office/drawing/2014/chart" uri="{C3380CC4-5D6E-409C-BE32-E72D297353CC}">
              <c16:uniqueId val="{00000000-6B30-4F77-A0CA-524F73749BE9}"/>
            </c:ext>
          </c:extLst>
        </c:ser>
        <c:ser>
          <c:idx val="1"/>
          <c:order val="1"/>
          <c:tx>
            <c:strRef>
              <c:f>Schedules!$E$195</c:f>
              <c:strCache>
                <c:ptCount val="1"/>
                <c:pt idx="0">
                  <c:v>Saturday</c:v>
                </c:pt>
              </c:strCache>
            </c:strRef>
          </c:tx>
          <c:spPr>
            <a:ln w="28575" cap="rnd">
              <a:solidFill>
                <a:schemeClr val="accent2"/>
              </a:solidFill>
              <a:round/>
            </a:ln>
            <a:effectLst/>
          </c:spPr>
          <c:marker>
            <c:symbol val="none"/>
          </c:marker>
          <c:val>
            <c:numRef>
              <c:f>Schedules!$F$195:$AC$195</c:f>
              <c:numCache>
                <c:formatCode>0.00</c:formatCode>
                <c:ptCount val="24"/>
                <c:pt idx="0">
                  <c:v>0</c:v>
                </c:pt>
                <c:pt idx="1">
                  <c:v>0</c:v>
                </c:pt>
                <c:pt idx="2">
                  <c:v>0</c:v>
                </c:pt>
                <c:pt idx="3">
                  <c:v>0</c:v>
                </c:pt>
                <c:pt idx="4">
                  <c:v>0</c:v>
                </c:pt>
                <c:pt idx="5">
                  <c:v>0</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1-6B30-4F77-A0CA-524F73749BE9}"/>
            </c:ext>
          </c:extLst>
        </c:ser>
        <c:ser>
          <c:idx val="2"/>
          <c:order val="2"/>
          <c:tx>
            <c:strRef>
              <c:f>Schedules!$E$196</c:f>
              <c:strCache>
                <c:ptCount val="1"/>
                <c:pt idx="0">
                  <c:v>Sunday</c:v>
                </c:pt>
              </c:strCache>
            </c:strRef>
          </c:tx>
          <c:spPr>
            <a:ln w="28575" cap="rnd">
              <a:solidFill>
                <a:schemeClr val="accent3"/>
              </a:solidFill>
              <a:round/>
            </a:ln>
            <a:effectLst/>
          </c:spPr>
          <c:marker>
            <c:symbol val="none"/>
          </c:marker>
          <c:val>
            <c:numRef>
              <c:f>Schedules!$F$196:$AC$196</c:f>
              <c:numCache>
                <c:formatCode>0.00</c:formatCode>
                <c:ptCount val="24"/>
                <c:pt idx="0">
                  <c:v>0</c:v>
                </c:pt>
                <c:pt idx="1">
                  <c:v>0</c:v>
                </c:pt>
                <c:pt idx="2">
                  <c:v>0</c:v>
                </c:pt>
                <c:pt idx="3">
                  <c:v>0</c:v>
                </c:pt>
                <c:pt idx="4">
                  <c:v>0</c:v>
                </c:pt>
                <c:pt idx="5">
                  <c:v>0</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2-6B30-4F77-A0CA-524F73749BE9}"/>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Schedules!$C$197</c:f>
          <c:strCache>
            <c:ptCount val="1"/>
            <c:pt idx="0">
              <c:v>Lights</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Schedules!$E$197</c:f>
              <c:strCache>
                <c:ptCount val="1"/>
                <c:pt idx="0">
                  <c:v>Weekday</c:v>
                </c:pt>
              </c:strCache>
            </c:strRef>
          </c:tx>
          <c:spPr>
            <a:ln w="28575" cap="rnd">
              <a:solidFill>
                <a:schemeClr val="accent1"/>
              </a:solidFill>
              <a:round/>
            </a:ln>
            <a:effectLst/>
          </c:spPr>
          <c:marker>
            <c:symbol val="none"/>
          </c:marker>
          <c:val>
            <c:numRef>
              <c:f>Schedules!$F$197:$AC$197</c:f>
              <c:numCache>
                <c:formatCode>0.00</c:formatCode>
                <c:ptCount val="24"/>
                <c:pt idx="0">
                  <c:v>0.05</c:v>
                </c:pt>
                <c:pt idx="1">
                  <c:v>0.05</c:v>
                </c:pt>
                <c:pt idx="2">
                  <c:v>0.05</c:v>
                </c:pt>
                <c:pt idx="3">
                  <c:v>0.05</c:v>
                </c:pt>
                <c:pt idx="4">
                  <c:v>0.05</c:v>
                </c:pt>
                <c:pt idx="5">
                  <c:v>0.1</c:v>
                </c:pt>
                <c:pt idx="6">
                  <c:v>0.1</c:v>
                </c:pt>
                <c:pt idx="7">
                  <c:v>0.3</c:v>
                </c:pt>
                <c:pt idx="8">
                  <c:v>0.65</c:v>
                </c:pt>
                <c:pt idx="9">
                  <c:v>0.65</c:v>
                </c:pt>
                <c:pt idx="10">
                  <c:v>0.65</c:v>
                </c:pt>
                <c:pt idx="11">
                  <c:v>0.65</c:v>
                </c:pt>
                <c:pt idx="12">
                  <c:v>0.65</c:v>
                </c:pt>
                <c:pt idx="13">
                  <c:v>0.65</c:v>
                </c:pt>
                <c:pt idx="14">
                  <c:v>0.65</c:v>
                </c:pt>
                <c:pt idx="15">
                  <c:v>0.65</c:v>
                </c:pt>
                <c:pt idx="16">
                  <c:v>0.65</c:v>
                </c:pt>
                <c:pt idx="17">
                  <c:v>0.35</c:v>
                </c:pt>
                <c:pt idx="18">
                  <c:v>0.3</c:v>
                </c:pt>
                <c:pt idx="19">
                  <c:v>0.3</c:v>
                </c:pt>
                <c:pt idx="20">
                  <c:v>0.2</c:v>
                </c:pt>
                <c:pt idx="21">
                  <c:v>0.2</c:v>
                </c:pt>
                <c:pt idx="22">
                  <c:v>0.1</c:v>
                </c:pt>
                <c:pt idx="23">
                  <c:v>0.05</c:v>
                </c:pt>
              </c:numCache>
            </c:numRef>
          </c:val>
          <c:smooth val="0"/>
          <c:extLst>
            <c:ext xmlns:c16="http://schemas.microsoft.com/office/drawing/2014/chart" uri="{C3380CC4-5D6E-409C-BE32-E72D297353CC}">
              <c16:uniqueId val="{00000000-6255-4463-9547-12B28241AD47}"/>
            </c:ext>
          </c:extLst>
        </c:ser>
        <c:ser>
          <c:idx val="1"/>
          <c:order val="1"/>
          <c:tx>
            <c:strRef>
              <c:f>Schedules!$E$198</c:f>
              <c:strCache>
                <c:ptCount val="1"/>
                <c:pt idx="0">
                  <c:v>Saturday</c:v>
                </c:pt>
              </c:strCache>
            </c:strRef>
          </c:tx>
          <c:spPr>
            <a:ln w="28575" cap="rnd">
              <a:solidFill>
                <a:schemeClr val="accent2"/>
              </a:solidFill>
              <a:round/>
            </a:ln>
            <a:effectLst/>
          </c:spPr>
          <c:marker>
            <c:symbol val="none"/>
          </c:marker>
          <c:val>
            <c:numRef>
              <c:f>Schedules!$F$198:$AC$198</c:f>
              <c:numCache>
                <c:formatCode>0.00</c:formatCode>
                <c:ptCount val="24"/>
                <c:pt idx="0">
                  <c:v>0.05</c:v>
                </c:pt>
                <c:pt idx="1">
                  <c:v>0.05</c:v>
                </c:pt>
                <c:pt idx="2">
                  <c:v>0.05</c:v>
                </c:pt>
                <c:pt idx="3">
                  <c:v>0.05</c:v>
                </c:pt>
                <c:pt idx="4">
                  <c:v>0.05</c:v>
                </c:pt>
                <c:pt idx="5">
                  <c:v>0.05</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1-6255-4463-9547-12B28241AD47}"/>
            </c:ext>
          </c:extLst>
        </c:ser>
        <c:ser>
          <c:idx val="2"/>
          <c:order val="2"/>
          <c:tx>
            <c:strRef>
              <c:f>Schedules!$E$199</c:f>
              <c:strCache>
                <c:ptCount val="1"/>
                <c:pt idx="0">
                  <c:v>Sunday</c:v>
                </c:pt>
              </c:strCache>
            </c:strRef>
          </c:tx>
          <c:spPr>
            <a:ln w="28575" cap="rnd">
              <a:solidFill>
                <a:schemeClr val="accent3"/>
              </a:solidFill>
              <a:round/>
            </a:ln>
            <a:effectLst/>
          </c:spPr>
          <c:marker>
            <c:symbol val="none"/>
          </c:marker>
          <c:val>
            <c:numRef>
              <c:f>Schedules!$F$199:$AC$199</c:f>
              <c:numCache>
                <c:formatCode>0.00</c:formatCode>
                <c:ptCount val="24"/>
                <c:pt idx="0">
                  <c:v>0.05</c:v>
                </c:pt>
                <c:pt idx="1">
                  <c:v>0.05</c:v>
                </c:pt>
                <c:pt idx="2">
                  <c:v>0.05</c:v>
                </c:pt>
                <c:pt idx="3">
                  <c:v>0.05</c:v>
                </c:pt>
                <c:pt idx="4">
                  <c:v>0.05</c:v>
                </c:pt>
                <c:pt idx="5">
                  <c:v>0.05</c:v>
                </c:pt>
                <c:pt idx="6">
                  <c:v>0.05</c:v>
                </c:pt>
                <c:pt idx="7">
                  <c:v>0.05</c:v>
                </c:pt>
                <c:pt idx="8">
                  <c:v>0.05</c:v>
                </c:pt>
                <c:pt idx="9">
                  <c:v>0.05</c:v>
                </c:pt>
                <c:pt idx="10">
                  <c:v>0.05</c:v>
                </c:pt>
                <c:pt idx="11">
                  <c:v>0.05</c:v>
                </c:pt>
                <c:pt idx="12">
                  <c:v>0.05</c:v>
                </c:pt>
                <c:pt idx="13">
                  <c:v>0.05</c:v>
                </c:pt>
                <c:pt idx="14">
                  <c:v>0.05</c:v>
                </c:pt>
                <c:pt idx="15">
                  <c:v>0.05</c:v>
                </c:pt>
                <c:pt idx="16">
                  <c:v>0.05</c:v>
                </c:pt>
                <c:pt idx="17">
                  <c:v>0.05</c:v>
                </c:pt>
                <c:pt idx="18">
                  <c:v>0.05</c:v>
                </c:pt>
                <c:pt idx="19">
                  <c:v>0.05</c:v>
                </c:pt>
                <c:pt idx="20">
                  <c:v>0.05</c:v>
                </c:pt>
                <c:pt idx="21">
                  <c:v>0.05</c:v>
                </c:pt>
                <c:pt idx="22">
                  <c:v>0.05</c:v>
                </c:pt>
                <c:pt idx="23">
                  <c:v>0.05</c:v>
                </c:pt>
              </c:numCache>
            </c:numRef>
          </c:val>
          <c:smooth val="0"/>
          <c:extLst>
            <c:ext xmlns:c16="http://schemas.microsoft.com/office/drawing/2014/chart" uri="{C3380CC4-5D6E-409C-BE32-E72D297353CC}">
              <c16:uniqueId val="{00000002-6255-4463-9547-12B28241AD47}"/>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Schedules!$C$200</c:f>
          <c:strCache>
            <c:ptCount val="1"/>
            <c:pt idx="0">
              <c:v>ElecEquipment </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Schedules!$E$200</c:f>
              <c:strCache>
                <c:ptCount val="1"/>
                <c:pt idx="0">
                  <c:v>Weekday</c:v>
                </c:pt>
              </c:strCache>
            </c:strRef>
          </c:tx>
          <c:spPr>
            <a:ln w="28575" cap="rnd">
              <a:solidFill>
                <a:schemeClr val="accent1"/>
              </a:solidFill>
              <a:round/>
            </a:ln>
            <a:effectLst/>
          </c:spPr>
          <c:marker>
            <c:symbol val="none"/>
          </c:marker>
          <c:val>
            <c:numRef>
              <c:f>Schedules!$F$200:$AC$200</c:f>
              <c:numCache>
                <c:formatCode>0.00</c:formatCode>
                <c:ptCount val="24"/>
                <c:pt idx="0">
                  <c:v>0.45</c:v>
                </c:pt>
                <c:pt idx="1">
                  <c:v>0.45</c:v>
                </c:pt>
                <c:pt idx="2">
                  <c:v>0.45</c:v>
                </c:pt>
                <c:pt idx="3">
                  <c:v>0.45</c:v>
                </c:pt>
                <c:pt idx="4">
                  <c:v>0.45</c:v>
                </c:pt>
                <c:pt idx="5">
                  <c:v>0.45</c:v>
                </c:pt>
                <c:pt idx="6">
                  <c:v>0.45</c:v>
                </c:pt>
                <c:pt idx="7">
                  <c:v>0.74</c:v>
                </c:pt>
                <c:pt idx="8">
                  <c:v>0.87</c:v>
                </c:pt>
                <c:pt idx="9">
                  <c:v>0.9</c:v>
                </c:pt>
                <c:pt idx="10">
                  <c:v>0.9</c:v>
                </c:pt>
                <c:pt idx="11">
                  <c:v>0.9</c:v>
                </c:pt>
                <c:pt idx="12">
                  <c:v>0.9</c:v>
                </c:pt>
                <c:pt idx="13">
                  <c:v>0.9</c:v>
                </c:pt>
                <c:pt idx="14">
                  <c:v>0.9</c:v>
                </c:pt>
                <c:pt idx="15">
                  <c:v>0.9</c:v>
                </c:pt>
                <c:pt idx="16">
                  <c:v>0.9</c:v>
                </c:pt>
                <c:pt idx="17">
                  <c:v>0.7</c:v>
                </c:pt>
                <c:pt idx="18">
                  <c:v>0.5</c:v>
                </c:pt>
                <c:pt idx="19">
                  <c:v>0.5</c:v>
                </c:pt>
                <c:pt idx="20">
                  <c:v>0.5</c:v>
                </c:pt>
                <c:pt idx="21">
                  <c:v>0.45</c:v>
                </c:pt>
                <c:pt idx="22">
                  <c:v>0.45</c:v>
                </c:pt>
                <c:pt idx="23">
                  <c:v>0.45</c:v>
                </c:pt>
              </c:numCache>
            </c:numRef>
          </c:val>
          <c:smooth val="0"/>
          <c:extLst>
            <c:ext xmlns:c16="http://schemas.microsoft.com/office/drawing/2014/chart" uri="{C3380CC4-5D6E-409C-BE32-E72D297353CC}">
              <c16:uniqueId val="{00000000-B81F-41E1-8269-5C72D1E6774E}"/>
            </c:ext>
          </c:extLst>
        </c:ser>
        <c:ser>
          <c:idx val="1"/>
          <c:order val="1"/>
          <c:tx>
            <c:strRef>
              <c:f>Schedules!$E$201</c:f>
              <c:strCache>
                <c:ptCount val="1"/>
                <c:pt idx="0">
                  <c:v>Saturday</c:v>
                </c:pt>
              </c:strCache>
            </c:strRef>
          </c:tx>
          <c:spPr>
            <a:ln w="28575" cap="rnd">
              <a:solidFill>
                <a:schemeClr val="accent2"/>
              </a:solidFill>
              <a:round/>
            </a:ln>
            <a:effectLst/>
          </c:spPr>
          <c:marker>
            <c:symbol val="none"/>
          </c:marker>
          <c:val>
            <c:numRef>
              <c:f>Schedules!$F$201:$AC$201</c:f>
              <c:numCache>
                <c:formatCode>0.00</c:formatCode>
                <c:ptCount val="24"/>
                <c:pt idx="0">
                  <c:v>0.43</c:v>
                </c:pt>
                <c:pt idx="1">
                  <c:v>0.43</c:v>
                </c:pt>
                <c:pt idx="2">
                  <c:v>0.43</c:v>
                </c:pt>
                <c:pt idx="3">
                  <c:v>0.43</c:v>
                </c:pt>
                <c:pt idx="4">
                  <c:v>0.43</c:v>
                </c:pt>
                <c:pt idx="5">
                  <c:v>0.43</c:v>
                </c:pt>
                <c:pt idx="6">
                  <c:v>0.43</c:v>
                </c:pt>
                <c:pt idx="7">
                  <c:v>0.43</c:v>
                </c:pt>
                <c:pt idx="8">
                  <c:v>0.43</c:v>
                </c:pt>
                <c:pt idx="9">
                  <c:v>0.43</c:v>
                </c:pt>
                <c:pt idx="10">
                  <c:v>0.43</c:v>
                </c:pt>
                <c:pt idx="11">
                  <c:v>0.43</c:v>
                </c:pt>
                <c:pt idx="12">
                  <c:v>0.43</c:v>
                </c:pt>
                <c:pt idx="13">
                  <c:v>0.43</c:v>
                </c:pt>
                <c:pt idx="14">
                  <c:v>0.43</c:v>
                </c:pt>
                <c:pt idx="15">
                  <c:v>0.43</c:v>
                </c:pt>
                <c:pt idx="16">
                  <c:v>0.43</c:v>
                </c:pt>
                <c:pt idx="17">
                  <c:v>0.43</c:v>
                </c:pt>
                <c:pt idx="18">
                  <c:v>0.43</c:v>
                </c:pt>
                <c:pt idx="19">
                  <c:v>0.43</c:v>
                </c:pt>
                <c:pt idx="20">
                  <c:v>0.43</c:v>
                </c:pt>
                <c:pt idx="21">
                  <c:v>0.43</c:v>
                </c:pt>
                <c:pt idx="22">
                  <c:v>0.43</c:v>
                </c:pt>
                <c:pt idx="23">
                  <c:v>0.43</c:v>
                </c:pt>
              </c:numCache>
            </c:numRef>
          </c:val>
          <c:smooth val="0"/>
          <c:extLst>
            <c:ext xmlns:c16="http://schemas.microsoft.com/office/drawing/2014/chart" uri="{C3380CC4-5D6E-409C-BE32-E72D297353CC}">
              <c16:uniqueId val="{00000001-B81F-41E1-8269-5C72D1E6774E}"/>
            </c:ext>
          </c:extLst>
        </c:ser>
        <c:ser>
          <c:idx val="2"/>
          <c:order val="2"/>
          <c:tx>
            <c:strRef>
              <c:f>Schedules!$E$202</c:f>
              <c:strCache>
                <c:ptCount val="1"/>
                <c:pt idx="0">
                  <c:v>Sunday</c:v>
                </c:pt>
              </c:strCache>
            </c:strRef>
          </c:tx>
          <c:spPr>
            <a:ln w="28575" cap="rnd">
              <a:solidFill>
                <a:schemeClr val="accent3"/>
              </a:solidFill>
              <a:round/>
            </a:ln>
            <a:effectLst/>
          </c:spPr>
          <c:marker>
            <c:symbol val="none"/>
          </c:marker>
          <c:val>
            <c:numRef>
              <c:f>Schedules!$F$202:$AC$202</c:f>
              <c:numCache>
                <c:formatCode>0.00</c:formatCode>
                <c:ptCount val="24"/>
                <c:pt idx="0">
                  <c:v>0.43</c:v>
                </c:pt>
                <c:pt idx="1">
                  <c:v>0.43</c:v>
                </c:pt>
                <c:pt idx="2">
                  <c:v>0.43</c:v>
                </c:pt>
                <c:pt idx="3">
                  <c:v>0.43</c:v>
                </c:pt>
                <c:pt idx="4">
                  <c:v>0.43</c:v>
                </c:pt>
                <c:pt idx="5">
                  <c:v>0.43</c:v>
                </c:pt>
                <c:pt idx="6">
                  <c:v>0.43</c:v>
                </c:pt>
                <c:pt idx="7">
                  <c:v>0.43</c:v>
                </c:pt>
                <c:pt idx="8">
                  <c:v>0.43</c:v>
                </c:pt>
                <c:pt idx="9">
                  <c:v>0.43</c:v>
                </c:pt>
                <c:pt idx="10">
                  <c:v>0.43</c:v>
                </c:pt>
                <c:pt idx="11">
                  <c:v>0.43</c:v>
                </c:pt>
                <c:pt idx="12">
                  <c:v>0.43</c:v>
                </c:pt>
                <c:pt idx="13">
                  <c:v>0.43</c:v>
                </c:pt>
                <c:pt idx="14">
                  <c:v>0.43</c:v>
                </c:pt>
                <c:pt idx="15">
                  <c:v>0.43</c:v>
                </c:pt>
                <c:pt idx="16">
                  <c:v>0.43</c:v>
                </c:pt>
                <c:pt idx="17">
                  <c:v>0.43</c:v>
                </c:pt>
                <c:pt idx="18">
                  <c:v>0.43</c:v>
                </c:pt>
                <c:pt idx="19">
                  <c:v>0.43</c:v>
                </c:pt>
                <c:pt idx="20">
                  <c:v>0.43</c:v>
                </c:pt>
                <c:pt idx="21">
                  <c:v>0.43</c:v>
                </c:pt>
                <c:pt idx="22">
                  <c:v>0.43</c:v>
                </c:pt>
                <c:pt idx="23">
                  <c:v>0.43</c:v>
                </c:pt>
              </c:numCache>
            </c:numRef>
          </c:val>
          <c:smooth val="0"/>
          <c:extLst>
            <c:ext xmlns:c16="http://schemas.microsoft.com/office/drawing/2014/chart" uri="{C3380CC4-5D6E-409C-BE32-E72D297353CC}">
              <c16:uniqueId val="{00000002-B81F-41E1-8269-5C72D1E6774E}"/>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Schedules!$C$44</c:f>
          <c:strCache>
            <c:ptCount val="1"/>
            <c:pt idx="0">
              <c:v>Infiltration</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Schedules!$E$44</c:f>
              <c:strCache>
                <c:ptCount val="1"/>
                <c:pt idx="0">
                  <c:v>Weekday</c:v>
                </c:pt>
              </c:strCache>
            </c:strRef>
          </c:tx>
          <c:spPr>
            <a:ln w="28575" cap="rnd">
              <a:solidFill>
                <a:schemeClr val="accent1"/>
              </a:solidFill>
              <a:round/>
            </a:ln>
            <a:effectLst/>
          </c:spPr>
          <c:marker>
            <c:symbol val="none"/>
          </c:marker>
          <c:val>
            <c:numRef>
              <c:f>Schedules!$F$44:$AC$44</c:f>
              <c:numCache>
                <c:formatCode>0.00</c:formatCode>
                <c:ptCount val="24"/>
                <c:pt idx="0">
                  <c:v>1</c:v>
                </c:pt>
                <c:pt idx="1">
                  <c:v>1</c:v>
                </c:pt>
                <c:pt idx="2">
                  <c:v>1</c:v>
                </c:pt>
                <c:pt idx="3">
                  <c:v>1</c:v>
                </c:pt>
                <c:pt idx="4">
                  <c:v>1</c:v>
                </c:pt>
                <c:pt idx="5">
                  <c:v>1</c:v>
                </c:pt>
                <c:pt idx="6">
                  <c:v>1</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1</c:v>
                </c:pt>
              </c:numCache>
            </c:numRef>
          </c:val>
          <c:smooth val="0"/>
          <c:extLst>
            <c:ext xmlns:c16="http://schemas.microsoft.com/office/drawing/2014/chart" uri="{C3380CC4-5D6E-409C-BE32-E72D297353CC}">
              <c16:uniqueId val="{00000000-1261-49B4-9636-466DF194812E}"/>
            </c:ext>
          </c:extLst>
        </c:ser>
        <c:ser>
          <c:idx val="1"/>
          <c:order val="1"/>
          <c:tx>
            <c:strRef>
              <c:f>Schedules!$E$45</c:f>
              <c:strCache>
                <c:ptCount val="1"/>
                <c:pt idx="0">
                  <c:v>Saturday</c:v>
                </c:pt>
              </c:strCache>
            </c:strRef>
          </c:tx>
          <c:spPr>
            <a:ln w="28575" cap="rnd">
              <a:solidFill>
                <a:schemeClr val="accent2"/>
              </a:solidFill>
              <a:round/>
            </a:ln>
            <a:effectLst/>
          </c:spPr>
          <c:marker>
            <c:symbol val="none"/>
          </c:marker>
          <c:val>
            <c:numRef>
              <c:f>Schedules!$F$45:$AC$45</c:f>
              <c:numCache>
                <c:formatCode>0.00</c:formatCode>
                <c:ptCount val="24"/>
                <c:pt idx="0">
                  <c:v>1</c:v>
                </c:pt>
                <c:pt idx="1">
                  <c:v>1</c:v>
                </c:pt>
                <c:pt idx="2">
                  <c:v>1</c:v>
                </c:pt>
                <c:pt idx="3">
                  <c:v>1</c:v>
                </c:pt>
                <c:pt idx="4">
                  <c:v>1</c:v>
                </c:pt>
                <c:pt idx="5">
                  <c:v>1</c:v>
                </c:pt>
                <c:pt idx="6">
                  <c:v>1</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1</c:v>
                </c:pt>
              </c:numCache>
            </c:numRef>
          </c:val>
          <c:smooth val="0"/>
          <c:extLst>
            <c:ext xmlns:c16="http://schemas.microsoft.com/office/drawing/2014/chart" uri="{C3380CC4-5D6E-409C-BE32-E72D297353CC}">
              <c16:uniqueId val="{00000001-1261-49B4-9636-466DF194812E}"/>
            </c:ext>
          </c:extLst>
        </c:ser>
        <c:ser>
          <c:idx val="2"/>
          <c:order val="2"/>
          <c:tx>
            <c:strRef>
              <c:f>Schedules!$E$46</c:f>
              <c:strCache>
                <c:ptCount val="1"/>
                <c:pt idx="0">
                  <c:v>Sunday</c:v>
                </c:pt>
              </c:strCache>
            </c:strRef>
          </c:tx>
          <c:spPr>
            <a:ln w="28575" cap="rnd">
              <a:solidFill>
                <a:schemeClr val="accent3"/>
              </a:solidFill>
              <a:round/>
            </a:ln>
            <a:effectLst/>
          </c:spPr>
          <c:marker>
            <c:symbol val="none"/>
          </c:marker>
          <c:val>
            <c:numRef>
              <c:f>Schedules!$F$46:$AC$46</c:f>
              <c:numCache>
                <c:formatCode>0.00</c:formatCode>
                <c:ptCount val="24"/>
                <c:pt idx="0">
                  <c:v>1</c:v>
                </c:pt>
                <c:pt idx="1">
                  <c:v>1</c:v>
                </c:pt>
                <c:pt idx="2">
                  <c:v>1</c:v>
                </c:pt>
                <c:pt idx="3">
                  <c:v>1</c:v>
                </c:pt>
                <c:pt idx="4">
                  <c:v>1</c:v>
                </c:pt>
                <c:pt idx="5">
                  <c:v>1</c:v>
                </c:pt>
                <c:pt idx="6">
                  <c:v>1</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1</c:v>
                </c:pt>
              </c:numCache>
            </c:numRef>
          </c:val>
          <c:smooth val="0"/>
          <c:extLst>
            <c:ext xmlns:c16="http://schemas.microsoft.com/office/drawing/2014/chart" uri="{C3380CC4-5D6E-409C-BE32-E72D297353CC}">
              <c16:uniqueId val="{00000002-1261-49B4-9636-466DF194812E}"/>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Schedules!$C$203</c:f>
          <c:strCache>
            <c:ptCount val="1"/>
            <c:pt idx="0">
              <c:v>HVACAvail</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Schedules!$E$203</c:f>
              <c:strCache>
                <c:ptCount val="1"/>
                <c:pt idx="0">
                  <c:v>Weekday</c:v>
                </c:pt>
              </c:strCache>
            </c:strRef>
          </c:tx>
          <c:spPr>
            <a:ln w="28575" cap="rnd">
              <a:solidFill>
                <a:schemeClr val="accent1"/>
              </a:solidFill>
              <a:round/>
            </a:ln>
            <a:effectLst/>
          </c:spPr>
          <c:marker>
            <c:symbol val="none"/>
          </c:marker>
          <c:val>
            <c:numRef>
              <c:f>Schedules!$F$203:$AC$203</c:f>
              <c:numCache>
                <c:formatCode>0.00</c:formatCode>
                <c:ptCount val="24"/>
                <c:pt idx="0">
                  <c:v>0</c:v>
                </c:pt>
                <c:pt idx="1">
                  <c:v>0</c:v>
                </c:pt>
                <c:pt idx="2">
                  <c:v>0</c:v>
                </c:pt>
                <c:pt idx="3">
                  <c:v>0</c:v>
                </c:pt>
                <c:pt idx="4">
                  <c:v>0</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F0AC-4CF3-93A4-FE6576F5698E}"/>
            </c:ext>
          </c:extLst>
        </c:ser>
        <c:ser>
          <c:idx val="1"/>
          <c:order val="1"/>
          <c:tx>
            <c:strRef>
              <c:f>Schedules!$E$204</c:f>
              <c:strCache>
                <c:ptCount val="1"/>
                <c:pt idx="0">
                  <c:v>Saturday</c:v>
                </c:pt>
              </c:strCache>
            </c:strRef>
          </c:tx>
          <c:spPr>
            <a:ln w="28575" cap="rnd">
              <a:solidFill>
                <a:schemeClr val="accent2"/>
              </a:solidFill>
              <a:round/>
            </a:ln>
            <a:effectLst/>
          </c:spPr>
          <c:marker>
            <c:symbol val="none"/>
          </c:marker>
          <c:val>
            <c:numRef>
              <c:f>Schedules!$F$204:$AC$204</c:f>
              <c:numCache>
                <c:formatCode>0.00</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1-F0AC-4CF3-93A4-FE6576F5698E}"/>
            </c:ext>
          </c:extLst>
        </c:ser>
        <c:ser>
          <c:idx val="2"/>
          <c:order val="2"/>
          <c:tx>
            <c:strRef>
              <c:f>Schedules!$E$205</c:f>
              <c:strCache>
                <c:ptCount val="1"/>
                <c:pt idx="0">
                  <c:v>Sunday</c:v>
                </c:pt>
              </c:strCache>
            </c:strRef>
          </c:tx>
          <c:spPr>
            <a:ln w="28575" cap="rnd">
              <a:solidFill>
                <a:schemeClr val="accent3"/>
              </a:solidFill>
              <a:round/>
            </a:ln>
            <a:effectLst/>
          </c:spPr>
          <c:marker>
            <c:symbol val="none"/>
          </c:marker>
          <c:val>
            <c:numRef>
              <c:f>Schedules!$F$205:$AC$205</c:f>
              <c:numCache>
                <c:formatCode>0.00</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2-F0AC-4CF3-93A4-FE6576F5698E}"/>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Schedules!$C$206</c:f>
          <c:strCache>
            <c:ptCount val="1"/>
            <c:pt idx="0">
              <c:v>ServiceHotWater</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Schedules!$E$206</c:f>
              <c:strCache>
                <c:ptCount val="1"/>
                <c:pt idx="0">
                  <c:v>Weekday</c:v>
                </c:pt>
              </c:strCache>
            </c:strRef>
          </c:tx>
          <c:spPr>
            <a:ln w="28575" cap="rnd">
              <a:solidFill>
                <a:schemeClr val="accent1"/>
              </a:solidFill>
              <a:round/>
            </a:ln>
            <a:effectLst/>
          </c:spPr>
          <c:marker>
            <c:symbol val="none"/>
          </c:marker>
          <c:val>
            <c:numRef>
              <c:f>Schedules!$F$206:$AC$206</c:f>
              <c:numCache>
                <c:formatCode>0.00</c:formatCode>
                <c:ptCount val="24"/>
                <c:pt idx="0">
                  <c:v>0.05</c:v>
                </c:pt>
                <c:pt idx="1">
                  <c:v>0.05</c:v>
                </c:pt>
                <c:pt idx="2">
                  <c:v>0.05</c:v>
                </c:pt>
                <c:pt idx="3">
                  <c:v>0.05</c:v>
                </c:pt>
                <c:pt idx="4">
                  <c:v>0.05</c:v>
                </c:pt>
                <c:pt idx="5">
                  <c:v>0.08</c:v>
                </c:pt>
                <c:pt idx="6">
                  <c:v>7.0000000000000007E-2</c:v>
                </c:pt>
                <c:pt idx="7">
                  <c:v>0.19</c:v>
                </c:pt>
                <c:pt idx="8">
                  <c:v>0.35</c:v>
                </c:pt>
                <c:pt idx="9">
                  <c:v>0.38</c:v>
                </c:pt>
                <c:pt idx="10">
                  <c:v>0.39</c:v>
                </c:pt>
                <c:pt idx="11">
                  <c:v>0.47</c:v>
                </c:pt>
                <c:pt idx="12">
                  <c:v>0.56999999999999995</c:v>
                </c:pt>
                <c:pt idx="13">
                  <c:v>0.54</c:v>
                </c:pt>
                <c:pt idx="14">
                  <c:v>0.34</c:v>
                </c:pt>
                <c:pt idx="15">
                  <c:v>0.33</c:v>
                </c:pt>
                <c:pt idx="16">
                  <c:v>0.44</c:v>
                </c:pt>
                <c:pt idx="17">
                  <c:v>0.26</c:v>
                </c:pt>
                <c:pt idx="18">
                  <c:v>0.21</c:v>
                </c:pt>
                <c:pt idx="19">
                  <c:v>0.15</c:v>
                </c:pt>
                <c:pt idx="20">
                  <c:v>0.17</c:v>
                </c:pt>
                <c:pt idx="21">
                  <c:v>0.08</c:v>
                </c:pt>
                <c:pt idx="22">
                  <c:v>0.05</c:v>
                </c:pt>
                <c:pt idx="23">
                  <c:v>0.05</c:v>
                </c:pt>
              </c:numCache>
            </c:numRef>
          </c:val>
          <c:smooth val="0"/>
          <c:extLst>
            <c:ext xmlns:c16="http://schemas.microsoft.com/office/drawing/2014/chart" uri="{C3380CC4-5D6E-409C-BE32-E72D297353CC}">
              <c16:uniqueId val="{00000000-83B9-4A92-8114-AD0A718F85C0}"/>
            </c:ext>
          </c:extLst>
        </c:ser>
        <c:ser>
          <c:idx val="1"/>
          <c:order val="1"/>
          <c:tx>
            <c:strRef>
              <c:f>Schedules!$E$207</c:f>
              <c:strCache>
                <c:ptCount val="1"/>
                <c:pt idx="0">
                  <c:v>Saturday</c:v>
                </c:pt>
              </c:strCache>
            </c:strRef>
          </c:tx>
          <c:spPr>
            <a:ln w="28575" cap="rnd">
              <a:solidFill>
                <a:schemeClr val="accent2"/>
              </a:solidFill>
              <a:round/>
            </a:ln>
            <a:effectLst/>
          </c:spPr>
          <c:marker>
            <c:symbol val="none"/>
          </c:marker>
          <c:val>
            <c:numRef>
              <c:f>Schedules!$F$207:$AC$207</c:f>
              <c:numCache>
                <c:formatCode>0.00</c:formatCode>
                <c:ptCount val="24"/>
                <c:pt idx="0">
                  <c:v>0.05</c:v>
                </c:pt>
                <c:pt idx="1">
                  <c:v>0.05</c:v>
                </c:pt>
                <c:pt idx="2">
                  <c:v>0.05</c:v>
                </c:pt>
                <c:pt idx="3">
                  <c:v>0.05</c:v>
                </c:pt>
                <c:pt idx="4">
                  <c:v>0.05</c:v>
                </c:pt>
                <c:pt idx="5">
                  <c:v>0.08</c:v>
                </c:pt>
                <c:pt idx="6">
                  <c:v>7.0000000000000007E-2</c:v>
                </c:pt>
                <c:pt idx="7">
                  <c:v>0.11</c:v>
                </c:pt>
                <c:pt idx="8">
                  <c:v>0.15</c:v>
                </c:pt>
                <c:pt idx="9">
                  <c:v>0.21</c:v>
                </c:pt>
                <c:pt idx="10">
                  <c:v>0.19</c:v>
                </c:pt>
                <c:pt idx="11">
                  <c:v>0.23</c:v>
                </c:pt>
                <c:pt idx="12">
                  <c:v>0.2</c:v>
                </c:pt>
                <c:pt idx="13">
                  <c:v>0.19</c:v>
                </c:pt>
                <c:pt idx="14">
                  <c:v>0.15</c:v>
                </c:pt>
                <c:pt idx="15">
                  <c:v>0.12</c:v>
                </c:pt>
                <c:pt idx="16">
                  <c:v>0.14000000000000001</c:v>
                </c:pt>
                <c:pt idx="17">
                  <c:v>7.0000000000000007E-2</c:v>
                </c:pt>
                <c:pt idx="18">
                  <c:v>7.0000000000000007E-2</c:v>
                </c:pt>
                <c:pt idx="19">
                  <c:v>7.0000000000000007E-2</c:v>
                </c:pt>
                <c:pt idx="20">
                  <c:v>7.0000000000000007E-2</c:v>
                </c:pt>
                <c:pt idx="21">
                  <c:v>0.09</c:v>
                </c:pt>
                <c:pt idx="22">
                  <c:v>0.05</c:v>
                </c:pt>
                <c:pt idx="23">
                  <c:v>0.05</c:v>
                </c:pt>
              </c:numCache>
            </c:numRef>
          </c:val>
          <c:smooth val="0"/>
          <c:extLst>
            <c:ext xmlns:c16="http://schemas.microsoft.com/office/drawing/2014/chart" uri="{C3380CC4-5D6E-409C-BE32-E72D297353CC}">
              <c16:uniqueId val="{00000003-83B9-4A92-8114-AD0A718F85C0}"/>
            </c:ext>
          </c:extLst>
        </c:ser>
        <c:ser>
          <c:idx val="2"/>
          <c:order val="2"/>
          <c:tx>
            <c:strRef>
              <c:f>Schedules!$E$208</c:f>
              <c:strCache>
                <c:ptCount val="1"/>
                <c:pt idx="0">
                  <c:v>Sunday</c:v>
                </c:pt>
              </c:strCache>
            </c:strRef>
          </c:tx>
          <c:spPr>
            <a:ln w="28575" cap="rnd">
              <a:solidFill>
                <a:schemeClr val="accent3"/>
              </a:solidFill>
              <a:round/>
            </a:ln>
            <a:effectLst/>
          </c:spPr>
          <c:marker>
            <c:symbol val="none"/>
          </c:marker>
          <c:val>
            <c:numRef>
              <c:f>Schedules!$F$208:$AC$208</c:f>
              <c:numCache>
                <c:formatCode>0.00</c:formatCode>
                <c:ptCount val="24"/>
                <c:pt idx="0">
                  <c:v>0.04</c:v>
                </c:pt>
                <c:pt idx="1">
                  <c:v>0.04</c:v>
                </c:pt>
                <c:pt idx="2">
                  <c:v>0.04</c:v>
                </c:pt>
                <c:pt idx="3">
                  <c:v>0.04</c:v>
                </c:pt>
                <c:pt idx="4">
                  <c:v>0.04</c:v>
                </c:pt>
                <c:pt idx="5">
                  <c:v>7.0000000000000007E-2</c:v>
                </c:pt>
                <c:pt idx="6">
                  <c:v>0.04</c:v>
                </c:pt>
                <c:pt idx="7">
                  <c:v>0.04</c:v>
                </c:pt>
                <c:pt idx="8">
                  <c:v>0.04</c:v>
                </c:pt>
                <c:pt idx="9">
                  <c:v>0.04</c:v>
                </c:pt>
                <c:pt idx="10">
                  <c:v>0.04</c:v>
                </c:pt>
                <c:pt idx="11">
                  <c:v>0.06</c:v>
                </c:pt>
                <c:pt idx="12">
                  <c:v>0.06</c:v>
                </c:pt>
                <c:pt idx="13">
                  <c:v>0.09</c:v>
                </c:pt>
                <c:pt idx="14">
                  <c:v>0.06</c:v>
                </c:pt>
                <c:pt idx="15">
                  <c:v>0.04</c:v>
                </c:pt>
                <c:pt idx="16">
                  <c:v>0.04</c:v>
                </c:pt>
                <c:pt idx="17">
                  <c:v>0.04</c:v>
                </c:pt>
                <c:pt idx="18">
                  <c:v>0.04</c:v>
                </c:pt>
                <c:pt idx="19">
                  <c:v>0.04</c:v>
                </c:pt>
                <c:pt idx="20">
                  <c:v>0.04</c:v>
                </c:pt>
                <c:pt idx="21">
                  <c:v>7.0000000000000007E-2</c:v>
                </c:pt>
                <c:pt idx="22">
                  <c:v>0.04</c:v>
                </c:pt>
                <c:pt idx="23">
                  <c:v>0.04</c:v>
                </c:pt>
              </c:numCache>
            </c:numRef>
          </c:val>
          <c:smooth val="0"/>
          <c:extLst>
            <c:ext xmlns:c16="http://schemas.microsoft.com/office/drawing/2014/chart" uri="{C3380CC4-5D6E-409C-BE32-E72D297353CC}">
              <c16:uniqueId val="{00000004-83B9-4A92-8114-AD0A718F85C0}"/>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439012883629005"/>
          <c:y val="0.66465017621985101"/>
          <c:w val="0.35609883786620561"/>
          <c:h val="0.1666359542538611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Schedules!$C$209</c:f>
          <c:strCache>
            <c:ptCount val="1"/>
            <c:pt idx="0">
              <c:v>Infiltration</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Schedules!$F$209:$AC$209</c:f>
              <c:numCache>
                <c:formatCode>0.00</c:formatCode>
                <c:ptCount val="24"/>
                <c:pt idx="0">
                  <c:v>1</c:v>
                </c:pt>
                <c:pt idx="1">
                  <c:v>1</c:v>
                </c:pt>
                <c:pt idx="2">
                  <c:v>1</c:v>
                </c:pt>
                <c:pt idx="3">
                  <c:v>1</c:v>
                </c:pt>
                <c:pt idx="4">
                  <c:v>1</c:v>
                </c:pt>
                <c:pt idx="5">
                  <c:v>0.25</c:v>
                </c:pt>
                <c:pt idx="6">
                  <c:v>0.25</c:v>
                </c:pt>
                <c:pt idx="7">
                  <c:v>0.25</c:v>
                </c:pt>
                <c:pt idx="8">
                  <c:v>0.25</c:v>
                </c:pt>
                <c:pt idx="9">
                  <c:v>0.25</c:v>
                </c:pt>
                <c:pt idx="10">
                  <c:v>0.25</c:v>
                </c:pt>
                <c:pt idx="11">
                  <c:v>0.25</c:v>
                </c:pt>
                <c:pt idx="12">
                  <c:v>0.25</c:v>
                </c:pt>
                <c:pt idx="13">
                  <c:v>0.25</c:v>
                </c:pt>
                <c:pt idx="14">
                  <c:v>0.25</c:v>
                </c:pt>
                <c:pt idx="15">
                  <c:v>0.25</c:v>
                </c:pt>
                <c:pt idx="16">
                  <c:v>0.25</c:v>
                </c:pt>
                <c:pt idx="17">
                  <c:v>0.25</c:v>
                </c:pt>
                <c:pt idx="18">
                  <c:v>0.25</c:v>
                </c:pt>
                <c:pt idx="19">
                  <c:v>0.25</c:v>
                </c:pt>
                <c:pt idx="20">
                  <c:v>0.25</c:v>
                </c:pt>
                <c:pt idx="21">
                  <c:v>0.25</c:v>
                </c:pt>
                <c:pt idx="22">
                  <c:v>0.25</c:v>
                </c:pt>
                <c:pt idx="23">
                  <c:v>0.25</c:v>
                </c:pt>
              </c:numCache>
            </c:numRef>
          </c:val>
          <c:smooth val="0"/>
          <c:extLst>
            <c:ext xmlns:c16="http://schemas.microsoft.com/office/drawing/2014/chart" uri="{C3380CC4-5D6E-409C-BE32-E72D297353CC}">
              <c16:uniqueId val="{00000000-E590-407F-9BE6-1AF4310285D8}"/>
            </c:ext>
          </c:extLst>
        </c:ser>
        <c:ser>
          <c:idx val="1"/>
          <c:order val="1"/>
          <c:spPr>
            <a:ln w="28575" cap="rnd">
              <a:solidFill>
                <a:schemeClr val="accent2"/>
              </a:solidFill>
              <a:round/>
            </a:ln>
            <a:effectLst/>
          </c:spPr>
          <c:marker>
            <c:symbol val="none"/>
          </c:marker>
          <c:val>
            <c:numRef>
              <c:f>Schedules!$F$210:$AC$210</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E590-407F-9BE6-1AF4310285D8}"/>
            </c:ext>
          </c:extLst>
        </c:ser>
        <c:ser>
          <c:idx val="2"/>
          <c:order val="2"/>
          <c:spPr>
            <a:ln w="28575" cap="rnd">
              <a:solidFill>
                <a:schemeClr val="accent3"/>
              </a:solidFill>
              <a:round/>
            </a:ln>
            <a:effectLst/>
          </c:spPr>
          <c:marker>
            <c:symbol val="none"/>
          </c:marker>
          <c:val>
            <c:numRef>
              <c:f>Schedules!$F$211:$AC$211</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E590-407F-9BE6-1AF4310285D8}"/>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14622591937496168"/>
          <c:y val="0.58324327299090994"/>
          <c:w val="0.8161751365375606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Schedules!$C$212</c:f>
          <c:strCache>
            <c:ptCount val="1"/>
            <c:pt idx="0">
              <c:v>HtgSetpt</c:v>
            </c:pt>
          </c:strCache>
        </c:strRef>
      </c:tx>
      <c:overlay val="0"/>
      <c:spPr>
        <a:noFill/>
        <a:ln>
          <a:noFill/>
        </a:ln>
        <a:effectLst/>
      </c:spPr>
      <c:txPr>
        <a:bodyPr rot="0" spcFirstLastPara="1" vertOverflow="ellipsis" vert="horz" wrap="square" anchor="ctr" anchorCtr="1"/>
        <a:lstStyle/>
        <a:p>
          <a:pPr>
            <a:defRPr sz="1000" b="1" i="0" u="none" strike="noStrike" kern="1200" spc="0" baseline="0">
              <a:solidFill>
                <a:schemeClr val="tx1"/>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Schedules!$E$212</c:f>
              <c:strCache>
                <c:ptCount val="1"/>
                <c:pt idx="0">
                  <c:v>Weekday</c:v>
                </c:pt>
              </c:strCache>
            </c:strRef>
          </c:tx>
          <c:spPr>
            <a:ln w="28575" cap="rnd">
              <a:solidFill>
                <a:schemeClr val="accent1"/>
              </a:solidFill>
              <a:round/>
            </a:ln>
            <a:effectLst/>
          </c:spPr>
          <c:marker>
            <c:symbol val="none"/>
          </c:marker>
          <c:val>
            <c:numRef>
              <c:f>Schedules!$F$212:$AC$212</c:f>
              <c:numCache>
                <c:formatCode>0</c:formatCode>
                <c:ptCount val="24"/>
                <c:pt idx="0">
                  <c:v>60</c:v>
                </c:pt>
                <c:pt idx="1">
                  <c:v>60</c:v>
                </c:pt>
                <c:pt idx="2">
                  <c:v>60</c:v>
                </c:pt>
                <c:pt idx="3">
                  <c:v>60</c:v>
                </c:pt>
                <c:pt idx="4">
                  <c:v>60</c:v>
                </c:pt>
                <c:pt idx="5">
                  <c:v>70</c:v>
                </c:pt>
                <c:pt idx="6">
                  <c:v>70</c:v>
                </c:pt>
                <c:pt idx="7">
                  <c:v>70</c:v>
                </c:pt>
                <c:pt idx="8">
                  <c:v>70</c:v>
                </c:pt>
                <c:pt idx="9">
                  <c:v>70</c:v>
                </c:pt>
                <c:pt idx="10">
                  <c:v>70</c:v>
                </c:pt>
                <c:pt idx="11">
                  <c:v>70</c:v>
                </c:pt>
                <c:pt idx="12">
                  <c:v>70</c:v>
                </c:pt>
                <c:pt idx="13">
                  <c:v>70</c:v>
                </c:pt>
                <c:pt idx="14">
                  <c:v>70</c:v>
                </c:pt>
                <c:pt idx="15">
                  <c:v>70</c:v>
                </c:pt>
                <c:pt idx="16">
                  <c:v>70</c:v>
                </c:pt>
                <c:pt idx="17">
                  <c:v>70</c:v>
                </c:pt>
                <c:pt idx="18">
                  <c:v>70</c:v>
                </c:pt>
                <c:pt idx="19">
                  <c:v>70</c:v>
                </c:pt>
                <c:pt idx="20">
                  <c:v>70</c:v>
                </c:pt>
                <c:pt idx="21">
                  <c:v>70</c:v>
                </c:pt>
                <c:pt idx="22">
                  <c:v>70</c:v>
                </c:pt>
                <c:pt idx="23">
                  <c:v>70</c:v>
                </c:pt>
              </c:numCache>
            </c:numRef>
          </c:val>
          <c:smooth val="0"/>
          <c:extLst>
            <c:ext xmlns:c16="http://schemas.microsoft.com/office/drawing/2014/chart" uri="{C3380CC4-5D6E-409C-BE32-E72D297353CC}">
              <c16:uniqueId val="{00000000-8B64-4988-90B4-E89028C9D583}"/>
            </c:ext>
          </c:extLst>
        </c:ser>
        <c:ser>
          <c:idx val="1"/>
          <c:order val="1"/>
          <c:tx>
            <c:strRef>
              <c:f>Schedules!$E$213</c:f>
              <c:strCache>
                <c:ptCount val="1"/>
                <c:pt idx="0">
                  <c:v>Saturday</c:v>
                </c:pt>
              </c:strCache>
            </c:strRef>
          </c:tx>
          <c:spPr>
            <a:ln w="28575" cap="rnd">
              <a:solidFill>
                <a:schemeClr val="accent2"/>
              </a:solidFill>
              <a:round/>
            </a:ln>
            <a:effectLst/>
          </c:spPr>
          <c:marker>
            <c:symbol val="none"/>
          </c:marker>
          <c:val>
            <c:numRef>
              <c:f>Schedules!$F$213:$AC$213</c:f>
              <c:numCache>
                <c:formatCode>0</c:formatCode>
                <c:ptCount val="24"/>
                <c:pt idx="0">
                  <c:v>60</c:v>
                </c:pt>
                <c:pt idx="1">
                  <c:v>60</c:v>
                </c:pt>
                <c:pt idx="2">
                  <c:v>60</c:v>
                </c:pt>
                <c:pt idx="3">
                  <c:v>60</c:v>
                </c:pt>
                <c:pt idx="4">
                  <c:v>60</c:v>
                </c:pt>
                <c:pt idx="5">
                  <c:v>60</c:v>
                </c:pt>
                <c:pt idx="6">
                  <c:v>60</c:v>
                </c:pt>
                <c:pt idx="7">
                  <c:v>60</c:v>
                </c:pt>
                <c:pt idx="8">
                  <c:v>60</c:v>
                </c:pt>
                <c:pt idx="9">
                  <c:v>60</c:v>
                </c:pt>
                <c:pt idx="10">
                  <c:v>60</c:v>
                </c:pt>
                <c:pt idx="11">
                  <c:v>60</c:v>
                </c:pt>
                <c:pt idx="12">
                  <c:v>60</c:v>
                </c:pt>
                <c:pt idx="13">
                  <c:v>60</c:v>
                </c:pt>
                <c:pt idx="14">
                  <c:v>60</c:v>
                </c:pt>
                <c:pt idx="15">
                  <c:v>60</c:v>
                </c:pt>
                <c:pt idx="16">
                  <c:v>60</c:v>
                </c:pt>
                <c:pt idx="17">
                  <c:v>60</c:v>
                </c:pt>
                <c:pt idx="18">
                  <c:v>60</c:v>
                </c:pt>
                <c:pt idx="19">
                  <c:v>60</c:v>
                </c:pt>
                <c:pt idx="20">
                  <c:v>60</c:v>
                </c:pt>
                <c:pt idx="21">
                  <c:v>60</c:v>
                </c:pt>
                <c:pt idx="22">
                  <c:v>60</c:v>
                </c:pt>
                <c:pt idx="23">
                  <c:v>60</c:v>
                </c:pt>
              </c:numCache>
            </c:numRef>
          </c:val>
          <c:smooth val="0"/>
          <c:extLst>
            <c:ext xmlns:c16="http://schemas.microsoft.com/office/drawing/2014/chart" uri="{C3380CC4-5D6E-409C-BE32-E72D297353CC}">
              <c16:uniqueId val="{00000001-8B64-4988-90B4-E89028C9D583}"/>
            </c:ext>
          </c:extLst>
        </c:ser>
        <c:ser>
          <c:idx val="2"/>
          <c:order val="2"/>
          <c:tx>
            <c:strRef>
              <c:f>Schedules!$E$214</c:f>
              <c:strCache>
                <c:ptCount val="1"/>
                <c:pt idx="0">
                  <c:v>Sunday</c:v>
                </c:pt>
              </c:strCache>
            </c:strRef>
          </c:tx>
          <c:spPr>
            <a:ln w="28575" cap="rnd">
              <a:solidFill>
                <a:schemeClr val="accent3"/>
              </a:solidFill>
              <a:round/>
            </a:ln>
            <a:effectLst/>
          </c:spPr>
          <c:marker>
            <c:symbol val="none"/>
          </c:marker>
          <c:val>
            <c:numRef>
              <c:f>Schedules!$F$214:$AC$214</c:f>
              <c:numCache>
                <c:formatCode>0</c:formatCode>
                <c:ptCount val="24"/>
                <c:pt idx="0">
                  <c:v>60</c:v>
                </c:pt>
                <c:pt idx="1">
                  <c:v>60</c:v>
                </c:pt>
                <c:pt idx="2">
                  <c:v>60</c:v>
                </c:pt>
                <c:pt idx="3">
                  <c:v>60</c:v>
                </c:pt>
                <c:pt idx="4">
                  <c:v>60</c:v>
                </c:pt>
                <c:pt idx="5">
                  <c:v>60</c:v>
                </c:pt>
                <c:pt idx="6">
                  <c:v>60</c:v>
                </c:pt>
                <c:pt idx="7">
                  <c:v>60</c:v>
                </c:pt>
                <c:pt idx="8">
                  <c:v>60</c:v>
                </c:pt>
                <c:pt idx="9">
                  <c:v>60</c:v>
                </c:pt>
                <c:pt idx="10">
                  <c:v>60</c:v>
                </c:pt>
                <c:pt idx="11">
                  <c:v>60</c:v>
                </c:pt>
                <c:pt idx="12">
                  <c:v>60</c:v>
                </c:pt>
                <c:pt idx="13">
                  <c:v>60</c:v>
                </c:pt>
                <c:pt idx="14">
                  <c:v>60</c:v>
                </c:pt>
                <c:pt idx="15">
                  <c:v>60</c:v>
                </c:pt>
                <c:pt idx="16">
                  <c:v>60</c:v>
                </c:pt>
                <c:pt idx="17">
                  <c:v>60</c:v>
                </c:pt>
                <c:pt idx="18">
                  <c:v>60</c:v>
                </c:pt>
                <c:pt idx="19">
                  <c:v>60</c:v>
                </c:pt>
                <c:pt idx="20">
                  <c:v>60</c:v>
                </c:pt>
                <c:pt idx="21">
                  <c:v>60</c:v>
                </c:pt>
                <c:pt idx="22">
                  <c:v>60</c:v>
                </c:pt>
                <c:pt idx="23">
                  <c:v>60</c:v>
                </c:pt>
              </c:numCache>
            </c:numRef>
          </c:val>
          <c:smooth val="0"/>
          <c:extLst>
            <c:ext xmlns:c16="http://schemas.microsoft.com/office/drawing/2014/chart" uri="{C3380CC4-5D6E-409C-BE32-E72D297353CC}">
              <c16:uniqueId val="{00000002-8B64-4988-90B4-E89028C9D583}"/>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80"/>
          <c:min val="6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5"/>
        <c:minorUnit val="2"/>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Schedules!$C$215</c:f>
          <c:strCache>
            <c:ptCount val="1"/>
            <c:pt idx="0">
              <c:v>ClgSetpt</c:v>
            </c:pt>
          </c:strCache>
        </c:strRef>
      </c:tx>
      <c:overlay val="0"/>
      <c:spPr>
        <a:noFill/>
        <a:ln>
          <a:noFill/>
        </a:ln>
        <a:effectLst/>
      </c:spPr>
      <c:txPr>
        <a:bodyPr rot="0" spcFirstLastPara="1" vertOverflow="ellipsis" vert="horz" wrap="square" anchor="ctr" anchorCtr="1"/>
        <a:lstStyle/>
        <a:p>
          <a:pPr>
            <a:defRPr sz="1000" b="1" i="0" u="none" strike="noStrike" kern="1200" spc="0" baseline="0">
              <a:solidFill>
                <a:schemeClr val="tx1"/>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Schedules!$E$215</c:f>
              <c:strCache>
                <c:ptCount val="1"/>
                <c:pt idx="0">
                  <c:v>Weekday</c:v>
                </c:pt>
              </c:strCache>
            </c:strRef>
          </c:tx>
          <c:spPr>
            <a:ln w="28575" cap="rnd">
              <a:solidFill>
                <a:schemeClr val="accent1"/>
              </a:solidFill>
              <a:round/>
            </a:ln>
            <a:effectLst/>
          </c:spPr>
          <c:marker>
            <c:symbol val="none"/>
          </c:marker>
          <c:val>
            <c:numRef>
              <c:f>Schedules!$F$215:$AC$215</c:f>
              <c:numCache>
                <c:formatCode>0</c:formatCode>
                <c:ptCount val="24"/>
                <c:pt idx="0">
                  <c:v>85</c:v>
                </c:pt>
                <c:pt idx="1">
                  <c:v>85</c:v>
                </c:pt>
                <c:pt idx="2">
                  <c:v>85</c:v>
                </c:pt>
                <c:pt idx="3">
                  <c:v>85</c:v>
                </c:pt>
                <c:pt idx="4">
                  <c:v>85</c:v>
                </c:pt>
                <c:pt idx="5">
                  <c:v>75</c:v>
                </c:pt>
                <c:pt idx="6">
                  <c:v>75</c:v>
                </c:pt>
                <c:pt idx="7">
                  <c:v>75</c:v>
                </c:pt>
                <c:pt idx="8">
                  <c:v>75</c:v>
                </c:pt>
                <c:pt idx="9">
                  <c:v>75</c:v>
                </c:pt>
                <c:pt idx="10">
                  <c:v>75</c:v>
                </c:pt>
                <c:pt idx="11">
                  <c:v>75</c:v>
                </c:pt>
                <c:pt idx="12">
                  <c:v>75</c:v>
                </c:pt>
                <c:pt idx="13">
                  <c:v>75</c:v>
                </c:pt>
                <c:pt idx="14">
                  <c:v>75</c:v>
                </c:pt>
                <c:pt idx="15">
                  <c:v>75</c:v>
                </c:pt>
                <c:pt idx="16">
                  <c:v>75</c:v>
                </c:pt>
                <c:pt idx="17">
                  <c:v>75</c:v>
                </c:pt>
                <c:pt idx="18">
                  <c:v>75</c:v>
                </c:pt>
                <c:pt idx="19">
                  <c:v>75</c:v>
                </c:pt>
                <c:pt idx="20">
                  <c:v>75</c:v>
                </c:pt>
                <c:pt idx="21">
                  <c:v>75</c:v>
                </c:pt>
                <c:pt idx="22">
                  <c:v>75</c:v>
                </c:pt>
                <c:pt idx="23">
                  <c:v>75</c:v>
                </c:pt>
              </c:numCache>
            </c:numRef>
          </c:val>
          <c:smooth val="0"/>
          <c:extLst>
            <c:ext xmlns:c16="http://schemas.microsoft.com/office/drawing/2014/chart" uri="{C3380CC4-5D6E-409C-BE32-E72D297353CC}">
              <c16:uniqueId val="{00000000-5683-4C3B-B346-74E515792944}"/>
            </c:ext>
          </c:extLst>
        </c:ser>
        <c:ser>
          <c:idx val="1"/>
          <c:order val="1"/>
          <c:tx>
            <c:strRef>
              <c:f>Schedules!$E$216</c:f>
              <c:strCache>
                <c:ptCount val="1"/>
                <c:pt idx="0">
                  <c:v>Saturday</c:v>
                </c:pt>
              </c:strCache>
            </c:strRef>
          </c:tx>
          <c:spPr>
            <a:ln w="28575" cap="rnd">
              <a:solidFill>
                <a:schemeClr val="accent2"/>
              </a:solidFill>
              <a:round/>
            </a:ln>
            <a:effectLst/>
          </c:spPr>
          <c:marker>
            <c:symbol val="none"/>
          </c:marker>
          <c:val>
            <c:numRef>
              <c:f>Schedules!$F$216:$AC$216</c:f>
              <c:numCache>
                <c:formatCode>0</c:formatCode>
                <c:ptCount val="24"/>
                <c:pt idx="0">
                  <c:v>85</c:v>
                </c:pt>
                <c:pt idx="1">
                  <c:v>85</c:v>
                </c:pt>
                <c:pt idx="2">
                  <c:v>85</c:v>
                </c:pt>
                <c:pt idx="3">
                  <c:v>85</c:v>
                </c:pt>
                <c:pt idx="4">
                  <c:v>85</c:v>
                </c:pt>
                <c:pt idx="5">
                  <c:v>85</c:v>
                </c:pt>
                <c:pt idx="6">
                  <c:v>85</c:v>
                </c:pt>
                <c:pt idx="7">
                  <c:v>85</c:v>
                </c:pt>
                <c:pt idx="8">
                  <c:v>85</c:v>
                </c:pt>
                <c:pt idx="9">
                  <c:v>85</c:v>
                </c:pt>
                <c:pt idx="10">
                  <c:v>85</c:v>
                </c:pt>
                <c:pt idx="11">
                  <c:v>85</c:v>
                </c:pt>
                <c:pt idx="12">
                  <c:v>85</c:v>
                </c:pt>
                <c:pt idx="13">
                  <c:v>85</c:v>
                </c:pt>
                <c:pt idx="14">
                  <c:v>85</c:v>
                </c:pt>
                <c:pt idx="15">
                  <c:v>85</c:v>
                </c:pt>
                <c:pt idx="16">
                  <c:v>85</c:v>
                </c:pt>
                <c:pt idx="17">
                  <c:v>85</c:v>
                </c:pt>
                <c:pt idx="18">
                  <c:v>85</c:v>
                </c:pt>
                <c:pt idx="19">
                  <c:v>85</c:v>
                </c:pt>
                <c:pt idx="20">
                  <c:v>85</c:v>
                </c:pt>
                <c:pt idx="21">
                  <c:v>85</c:v>
                </c:pt>
                <c:pt idx="22">
                  <c:v>85</c:v>
                </c:pt>
                <c:pt idx="23">
                  <c:v>85</c:v>
                </c:pt>
              </c:numCache>
            </c:numRef>
          </c:val>
          <c:smooth val="0"/>
          <c:extLst>
            <c:ext xmlns:c16="http://schemas.microsoft.com/office/drawing/2014/chart" uri="{C3380CC4-5D6E-409C-BE32-E72D297353CC}">
              <c16:uniqueId val="{00000001-5683-4C3B-B346-74E515792944}"/>
            </c:ext>
          </c:extLst>
        </c:ser>
        <c:ser>
          <c:idx val="2"/>
          <c:order val="2"/>
          <c:tx>
            <c:strRef>
              <c:f>Schedules!$E$217</c:f>
              <c:strCache>
                <c:ptCount val="1"/>
                <c:pt idx="0">
                  <c:v>Sunday</c:v>
                </c:pt>
              </c:strCache>
            </c:strRef>
          </c:tx>
          <c:spPr>
            <a:ln w="28575" cap="rnd">
              <a:solidFill>
                <a:schemeClr val="accent3"/>
              </a:solidFill>
              <a:round/>
            </a:ln>
            <a:effectLst/>
          </c:spPr>
          <c:marker>
            <c:symbol val="none"/>
          </c:marker>
          <c:val>
            <c:numRef>
              <c:f>Schedules!$F$217:$AC$217</c:f>
              <c:numCache>
                <c:formatCode>0</c:formatCode>
                <c:ptCount val="24"/>
                <c:pt idx="0">
                  <c:v>85</c:v>
                </c:pt>
                <c:pt idx="1">
                  <c:v>85</c:v>
                </c:pt>
                <c:pt idx="2">
                  <c:v>85</c:v>
                </c:pt>
                <c:pt idx="3">
                  <c:v>85</c:v>
                </c:pt>
                <c:pt idx="4">
                  <c:v>85</c:v>
                </c:pt>
                <c:pt idx="5">
                  <c:v>85</c:v>
                </c:pt>
                <c:pt idx="6">
                  <c:v>85</c:v>
                </c:pt>
                <c:pt idx="7">
                  <c:v>85</c:v>
                </c:pt>
                <c:pt idx="8">
                  <c:v>85</c:v>
                </c:pt>
                <c:pt idx="9">
                  <c:v>85</c:v>
                </c:pt>
                <c:pt idx="10">
                  <c:v>85</c:v>
                </c:pt>
                <c:pt idx="11">
                  <c:v>85</c:v>
                </c:pt>
                <c:pt idx="12">
                  <c:v>85</c:v>
                </c:pt>
                <c:pt idx="13">
                  <c:v>85</c:v>
                </c:pt>
                <c:pt idx="14">
                  <c:v>85</c:v>
                </c:pt>
                <c:pt idx="15">
                  <c:v>85</c:v>
                </c:pt>
                <c:pt idx="16">
                  <c:v>85</c:v>
                </c:pt>
                <c:pt idx="17">
                  <c:v>85</c:v>
                </c:pt>
                <c:pt idx="18">
                  <c:v>85</c:v>
                </c:pt>
                <c:pt idx="19">
                  <c:v>85</c:v>
                </c:pt>
                <c:pt idx="20">
                  <c:v>85</c:v>
                </c:pt>
                <c:pt idx="21">
                  <c:v>85</c:v>
                </c:pt>
                <c:pt idx="22">
                  <c:v>85</c:v>
                </c:pt>
                <c:pt idx="23">
                  <c:v>85</c:v>
                </c:pt>
              </c:numCache>
            </c:numRef>
          </c:val>
          <c:smooth val="0"/>
          <c:extLst>
            <c:ext xmlns:c16="http://schemas.microsoft.com/office/drawing/2014/chart" uri="{C3380CC4-5D6E-409C-BE32-E72D297353CC}">
              <c16:uniqueId val="{00000002-5683-4C3B-B346-74E515792944}"/>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80"/>
          <c:min val="60"/>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5"/>
        <c:minorUnit val="2"/>
      </c:valAx>
      <c:spPr>
        <a:noFill/>
        <a:ln>
          <a:noFill/>
        </a:ln>
        <a:effectLst/>
      </c:spPr>
    </c:plotArea>
    <c:legend>
      <c:legendPos val="b"/>
      <c:layout>
        <c:manualLayout>
          <c:xMode val="edge"/>
          <c:yMode val="edge"/>
          <c:x val="0.19081515552398717"/>
          <c:y val="0.52565747119424466"/>
          <c:w val="0.72584928779999403"/>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Schedules!$C$256</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Schedules!$E$256</c:f>
            </c:strRef>
          </c:tx>
          <c:spPr>
            <a:ln w="28575" cap="rnd">
              <a:solidFill>
                <a:schemeClr val="accent1"/>
              </a:solidFill>
              <a:round/>
            </a:ln>
            <a:effectLst/>
          </c:spPr>
          <c:marker>
            <c:symbol val="none"/>
          </c:marker>
          <c:val>
            <c:numRef>
              <c:f>Schedules!$F$256:$AC$256</c:f>
            </c:numRef>
          </c:val>
          <c:smooth val="0"/>
          <c:extLst>
            <c:ext xmlns:c16="http://schemas.microsoft.com/office/drawing/2014/chart" uri="{C3380CC4-5D6E-409C-BE32-E72D297353CC}">
              <c16:uniqueId val="{00000000-F541-4078-B841-B50EF2D9B405}"/>
            </c:ext>
          </c:extLst>
        </c:ser>
        <c:ser>
          <c:idx val="1"/>
          <c:order val="1"/>
          <c:tx>
            <c:strRef>
              <c:f>Schedules!$E$257</c:f>
            </c:strRef>
          </c:tx>
          <c:spPr>
            <a:ln w="28575" cap="rnd">
              <a:solidFill>
                <a:schemeClr val="accent2"/>
              </a:solidFill>
              <a:round/>
            </a:ln>
            <a:effectLst/>
          </c:spPr>
          <c:marker>
            <c:symbol val="none"/>
          </c:marker>
          <c:val>
            <c:numRef>
              <c:f>Schedules!$F$257:$AC$257</c:f>
            </c:numRef>
          </c:val>
          <c:smooth val="0"/>
          <c:extLst>
            <c:ext xmlns:c16="http://schemas.microsoft.com/office/drawing/2014/chart" uri="{C3380CC4-5D6E-409C-BE32-E72D297353CC}">
              <c16:uniqueId val="{00000001-F541-4078-B841-B50EF2D9B405}"/>
            </c:ext>
          </c:extLst>
        </c:ser>
        <c:ser>
          <c:idx val="2"/>
          <c:order val="2"/>
          <c:tx>
            <c:strRef>
              <c:f>Schedules!$E$258</c:f>
            </c:strRef>
          </c:tx>
          <c:spPr>
            <a:ln w="28575" cap="rnd">
              <a:solidFill>
                <a:schemeClr val="accent3"/>
              </a:solidFill>
              <a:round/>
            </a:ln>
            <a:effectLst/>
          </c:spPr>
          <c:marker>
            <c:symbol val="none"/>
          </c:marker>
          <c:val>
            <c:numRef>
              <c:f>Schedules!$F$258:$AC$258</c:f>
            </c:numRef>
          </c:val>
          <c:smooth val="0"/>
          <c:extLst>
            <c:ext xmlns:c16="http://schemas.microsoft.com/office/drawing/2014/chart" uri="{C3380CC4-5D6E-409C-BE32-E72D297353CC}">
              <c16:uniqueId val="{00000002-F541-4078-B841-B50EF2D9B405}"/>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Schedules!$C$259</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Schedules!$E$259</c:f>
            </c:strRef>
          </c:tx>
          <c:spPr>
            <a:ln w="28575" cap="rnd">
              <a:solidFill>
                <a:schemeClr val="accent1"/>
              </a:solidFill>
              <a:round/>
            </a:ln>
            <a:effectLst/>
          </c:spPr>
          <c:marker>
            <c:symbol val="none"/>
          </c:marker>
          <c:val>
            <c:numRef>
              <c:f>Schedules!$F$259:$AC$259</c:f>
            </c:numRef>
          </c:val>
          <c:smooth val="0"/>
          <c:extLst>
            <c:ext xmlns:c16="http://schemas.microsoft.com/office/drawing/2014/chart" uri="{C3380CC4-5D6E-409C-BE32-E72D297353CC}">
              <c16:uniqueId val="{00000000-C2BD-4E46-81B1-88751964A2E9}"/>
            </c:ext>
          </c:extLst>
        </c:ser>
        <c:ser>
          <c:idx val="1"/>
          <c:order val="1"/>
          <c:tx>
            <c:strRef>
              <c:f>Schedules!$E$260</c:f>
            </c:strRef>
          </c:tx>
          <c:spPr>
            <a:ln w="28575" cap="rnd">
              <a:solidFill>
                <a:schemeClr val="accent2"/>
              </a:solidFill>
              <a:round/>
            </a:ln>
            <a:effectLst/>
          </c:spPr>
          <c:marker>
            <c:symbol val="none"/>
          </c:marker>
          <c:val>
            <c:numRef>
              <c:f>Schedules!$F$260:$AC$260</c:f>
            </c:numRef>
          </c:val>
          <c:smooth val="0"/>
          <c:extLst>
            <c:ext xmlns:c16="http://schemas.microsoft.com/office/drawing/2014/chart" uri="{C3380CC4-5D6E-409C-BE32-E72D297353CC}">
              <c16:uniqueId val="{00000001-C2BD-4E46-81B1-88751964A2E9}"/>
            </c:ext>
          </c:extLst>
        </c:ser>
        <c:ser>
          <c:idx val="2"/>
          <c:order val="2"/>
          <c:tx>
            <c:strRef>
              <c:f>Schedules!$E$261</c:f>
            </c:strRef>
          </c:tx>
          <c:spPr>
            <a:ln w="28575" cap="rnd">
              <a:solidFill>
                <a:schemeClr val="accent3"/>
              </a:solidFill>
              <a:round/>
            </a:ln>
            <a:effectLst/>
          </c:spPr>
          <c:marker>
            <c:symbol val="none"/>
          </c:marker>
          <c:val>
            <c:numRef>
              <c:f>Schedules!$F$261:$AC$261</c:f>
            </c:numRef>
          </c:val>
          <c:smooth val="0"/>
          <c:extLst>
            <c:ext xmlns:c16="http://schemas.microsoft.com/office/drawing/2014/chart" uri="{C3380CC4-5D6E-409C-BE32-E72D297353CC}">
              <c16:uniqueId val="{00000002-C2BD-4E46-81B1-88751964A2E9}"/>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Schedules!$C$265</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Schedules!$E$265</c:f>
            </c:strRef>
          </c:tx>
          <c:spPr>
            <a:ln w="28575" cap="rnd">
              <a:solidFill>
                <a:schemeClr val="accent1"/>
              </a:solidFill>
              <a:round/>
            </a:ln>
            <a:effectLst/>
          </c:spPr>
          <c:marker>
            <c:symbol val="none"/>
          </c:marker>
          <c:val>
            <c:numRef>
              <c:f>Schedules!$F$265:$AC$265</c:f>
            </c:numRef>
          </c:val>
          <c:smooth val="0"/>
          <c:extLst>
            <c:ext xmlns:c16="http://schemas.microsoft.com/office/drawing/2014/chart" uri="{C3380CC4-5D6E-409C-BE32-E72D297353CC}">
              <c16:uniqueId val="{00000000-EC11-4CA0-AEB3-97202D6507A8}"/>
            </c:ext>
          </c:extLst>
        </c:ser>
        <c:ser>
          <c:idx val="1"/>
          <c:order val="1"/>
          <c:tx>
            <c:strRef>
              <c:f>Schedules!$E$266</c:f>
            </c:strRef>
          </c:tx>
          <c:spPr>
            <a:ln w="28575" cap="rnd">
              <a:solidFill>
                <a:schemeClr val="accent2"/>
              </a:solidFill>
              <a:round/>
            </a:ln>
            <a:effectLst/>
          </c:spPr>
          <c:marker>
            <c:symbol val="none"/>
          </c:marker>
          <c:val>
            <c:numRef>
              <c:f>Schedules!$F$266:$AC$266</c:f>
            </c:numRef>
          </c:val>
          <c:smooth val="0"/>
          <c:extLst>
            <c:ext xmlns:c16="http://schemas.microsoft.com/office/drawing/2014/chart" uri="{C3380CC4-5D6E-409C-BE32-E72D297353CC}">
              <c16:uniqueId val="{00000001-EC11-4CA0-AEB3-97202D6507A8}"/>
            </c:ext>
          </c:extLst>
        </c:ser>
        <c:ser>
          <c:idx val="2"/>
          <c:order val="2"/>
          <c:tx>
            <c:strRef>
              <c:f>Schedules!$E$267</c:f>
            </c:strRef>
          </c:tx>
          <c:spPr>
            <a:ln w="28575" cap="rnd">
              <a:solidFill>
                <a:schemeClr val="accent3"/>
              </a:solidFill>
              <a:round/>
            </a:ln>
            <a:effectLst/>
          </c:spPr>
          <c:marker>
            <c:symbol val="none"/>
          </c:marker>
          <c:val>
            <c:numRef>
              <c:f>Schedules!$F$267:$AC$267</c:f>
            </c:numRef>
          </c:val>
          <c:smooth val="0"/>
          <c:extLst>
            <c:ext xmlns:c16="http://schemas.microsoft.com/office/drawing/2014/chart" uri="{C3380CC4-5D6E-409C-BE32-E72D297353CC}">
              <c16:uniqueId val="{00000002-EC11-4CA0-AEB3-97202D6507A8}"/>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Schedules!$C$268</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Schedules!$E$268</c:f>
            </c:strRef>
          </c:tx>
          <c:spPr>
            <a:ln w="28575" cap="rnd">
              <a:solidFill>
                <a:schemeClr val="accent1"/>
              </a:solidFill>
              <a:round/>
            </a:ln>
            <a:effectLst/>
          </c:spPr>
          <c:marker>
            <c:symbol val="none"/>
          </c:marker>
          <c:val>
            <c:numRef>
              <c:f>Schedules!$F$268:$AC$268</c:f>
            </c:numRef>
          </c:val>
          <c:smooth val="0"/>
          <c:extLst>
            <c:ext xmlns:c16="http://schemas.microsoft.com/office/drawing/2014/chart" uri="{C3380CC4-5D6E-409C-BE32-E72D297353CC}">
              <c16:uniqueId val="{00000000-DADD-4E0B-8521-539518D43E55}"/>
            </c:ext>
          </c:extLst>
        </c:ser>
        <c:ser>
          <c:idx val="1"/>
          <c:order val="1"/>
          <c:tx>
            <c:strRef>
              <c:f>Schedules!$E$269</c:f>
            </c:strRef>
          </c:tx>
          <c:spPr>
            <a:ln w="28575" cap="rnd">
              <a:solidFill>
                <a:schemeClr val="accent2"/>
              </a:solidFill>
              <a:round/>
            </a:ln>
            <a:effectLst/>
          </c:spPr>
          <c:marker>
            <c:symbol val="none"/>
          </c:marker>
          <c:val>
            <c:numRef>
              <c:f>Schedules!$F$269:$AC$269</c:f>
            </c:numRef>
          </c:val>
          <c:smooth val="0"/>
          <c:extLst>
            <c:ext xmlns:c16="http://schemas.microsoft.com/office/drawing/2014/chart" uri="{C3380CC4-5D6E-409C-BE32-E72D297353CC}">
              <c16:uniqueId val="{00000001-DADD-4E0B-8521-539518D43E55}"/>
            </c:ext>
          </c:extLst>
        </c:ser>
        <c:ser>
          <c:idx val="2"/>
          <c:order val="2"/>
          <c:tx>
            <c:strRef>
              <c:f>Schedules!$E$270</c:f>
            </c:strRef>
          </c:tx>
          <c:spPr>
            <a:ln w="28575" cap="rnd">
              <a:solidFill>
                <a:schemeClr val="accent3"/>
              </a:solidFill>
              <a:round/>
            </a:ln>
            <a:effectLst/>
          </c:spPr>
          <c:marker>
            <c:symbol val="none"/>
          </c:marker>
          <c:val>
            <c:numRef>
              <c:f>Schedules!$F$270:$AC$270</c:f>
            </c:numRef>
          </c:val>
          <c:smooth val="0"/>
          <c:extLst>
            <c:ext xmlns:c16="http://schemas.microsoft.com/office/drawing/2014/chart" uri="{C3380CC4-5D6E-409C-BE32-E72D297353CC}">
              <c16:uniqueId val="{00000002-DADD-4E0B-8521-539518D43E55}"/>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4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sz="1000" b="1" i="0" u="none" strike="noStrike" kern="1200" spc="0" baseline="0">
                <a:solidFill>
                  <a:sysClr val="windowText" lastClr="000000"/>
                </a:solidFill>
                <a:latin typeface="Arial" panose="020B0604020202020204" pitchFamily="34" charset="0"/>
                <a:cs typeface="Arial" panose="020B0604020202020204" pitchFamily="34" charset="0"/>
              </a:rPr>
              <a:t>Assembly Elevator</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0-8813-4D63-8703-145D318C3735}"/>
            </c:ext>
          </c:extLst>
        </c:ser>
        <c:ser>
          <c:idx val="1"/>
          <c:order val="1"/>
          <c:spPr>
            <a:ln w="28575" cap="rnd">
              <a:solidFill>
                <a:schemeClr val="accent2"/>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1-8813-4D63-8703-145D318C3735}"/>
            </c:ext>
          </c:extLst>
        </c:ser>
        <c:ser>
          <c:idx val="2"/>
          <c:order val="2"/>
          <c:spPr>
            <a:ln w="28575" cap="rnd">
              <a:solidFill>
                <a:schemeClr val="accent3"/>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2-8813-4D63-8703-145D318C3735}"/>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Schedules!$C$38</c:f>
          <c:strCache>
            <c:ptCount val="1"/>
            <c:pt idx="0">
              <c:v>HVACAvail</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Schedules!$F$38:$AC$38</c:f>
              <c:numCache>
                <c:formatCode>0.00</c:formatCode>
                <c:ptCount val="24"/>
                <c:pt idx="0">
                  <c:v>0</c:v>
                </c:pt>
                <c:pt idx="1">
                  <c:v>0</c:v>
                </c:pt>
                <c:pt idx="2">
                  <c:v>0</c:v>
                </c:pt>
                <c:pt idx="3">
                  <c:v>0</c:v>
                </c:pt>
                <c:pt idx="4">
                  <c:v>0</c:v>
                </c:pt>
                <c:pt idx="5">
                  <c:v>0</c:v>
                </c:pt>
                <c:pt idx="6">
                  <c:v>0</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0</c:v>
                </c:pt>
              </c:numCache>
            </c:numRef>
          </c:val>
          <c:smooth val="0"/>
          <c:extLst>
            <c:ext xmlns:c16="http://schemas.microsoft.com/office/drawing/2014/chart" uri="{C3380CC4-5D6E-409C-BE32-E72D297353CC}">
              <c16:uniqueId val="{00000000-E302-42EC-BE25-56DD4FBD97A6}"/>
            </c:ext>
          </c:extLst>
        </c:ser>
        <c:ser>
          <c:idx val="1"/>
          <c:order val="1"/>
          <c:spPr>
            <a:ln w="28575" cap="rnd">
              <a:solidFill>
                <a:schemeClr val="accent2"/>
              </a:solidFill>
              <a:round/>
            </a:ln>
            <a:effectLst/>
          </c:spPr>
          <c:marker>
            <c:symbol val="none"/>
          </c:marker>
          <c:val>
            <c:numRef>
              <c:f>Schedules!$F$39:$AC$39</c:f>
              <c:numCache>
                <c:formatCode>0.00</c:formatCode>
                <c:ptCount val="24"/>
                <c:pt idx="0">
                  <c:v>0</c:v>
                </c:pt>
                <c:pt idx="1">
                  <c:v>0</c:v>
                </c:pt>
                <c:pt idx="2">
                  <c:v>0</c:v>
                </c:pt>
                <c:pt idx="3">
                  <c:v>0</c:v>
                </c:pt>
                <c:pt idx="4">
                  <c:v>0</c:v>
                </c:pt>
                <c:pt idx="5">
                  <c:v>0</c:v>
                </c:pt>
                <c:pt idx="6">
                  <c:v>0</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0</c:v>
                </c:pt>
              </c:numCache>
            </c:numRef>
          </c:val>
          <c:smooth val="0"/>
          <c:extLst>
            <c:ext xmlns:c16="http://schemas.microsoft.com/office/drawing/2014/chart" uri="{C3380CC4-5D6E-409C-BE32-E72D297353CC}">
              <c16:uniqueId val="{00000001-E302-42EC-BE25-56DD4FBD97A6}"/>
            </c:ext>
          </c:extLst>
        </c:ser>
        <c:ser>
          <c:idx val="2"/>
          <c:order val="2"/>
          <c:spPr>
            <a:ln w="28575" cap="rnd">
              <a:solidFill>
                <a:schemeClr val="accent3"/>
              </a:solidFill>
              <a:round/>
            </a:ln>
            <a:effectLst/>
          </c:spPr>
          <c:marker>
            <c:symbol val="none"/>
          </c:marker>
          <c:val>
            <c:numRef>
              <c:f>Schedules!$F$40:$AC$40</c:f>
              <c:numCache>
                <c:formatCode>0.00</c:formatCode>
                <c:ptCount val="24"/>
                <c:pt idx="0">
                  <c:v>0</c:v>
                </c:pt>
                <c:pt idx="1">
                  <c:v>0</c:v>
                </c:pt>
                <c:pt idx="2">
                  <c:v>0</c:v>
                </c:pt>
                <c:pt idx="3">
                  <c:v>0</c:v>
                </c:pt>
                <c:pt idx="4">
                  <c:v>0</c:v>
                </c:pt>
                <c:pt idx="5">
                  <c:v>0</c:v>
                </c:pt>
                <c:pt idx="6">
                  <c:v>0</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0</c:v>
                </c:pt>
              </c:numCache>
            </c:numRef>
          </c:val>
          <c:smooth val="0"/>
          <c:extLst>
            <c:ext xmlns:c16="http://schemas.microsoft.com/office/drawing/2014/chart" uri="{C3380CC4-5D6E-409C-BE32-E72D297353CC}">
              <c16:uniqueId val="{00000002-E302-42EC-BE25-56DD4FBD97A6}"/>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Schedules!$C$262</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Schedules!$E$262</c:f>
            </c:strRef>
          </c:tx>
          <c:spPr>
            <a:ln w="28575" cap="rnd">
              <a:solidFill>
                <a:schemeClr val="accent1"/>
              </a:solidFill>
              <a:round/>
            </a:ln>
            <a:effectLst/>
          </c:spPr>
          <c:marker>
            <c:symbol val="none"/>
          </c:marker>
          <c:val>
            <c:numRef>
              <c:f>Schedules!$F$262:$AC$262</c:f>
            </c:numRef>
          </c:val>
          <c:smooth val="0"/>
          <c:extLst>
            <c:ext xmlns:c16="http://schemas.microsoft.com/office/drawing/2014/chart" uri="{C3380CC4-5D6E-409C-BE32-E72D297353CC}">
              <c16:uniqueId val="{00000000-5C6F-4BB5-9936-EE875CECB71C}"/>
            </c:ext>
          </c:extLst>
        </c:ser>
        <c:ser>
          <c:idx val="1"/>
          <c:order val="1"/>
          <c:tx>
            <c:strRef>
              <c:f>Schedules!$E$263</c:f>
            </c:strRef>
          </c:tx>
          <c:spPr>
            <a:ln w="28575" cap="rnd">
              <a:solidFill>
                <a:schemeClr val="accent2"/>
              </a:solidFill>
              <a:round/>
            </a:ln>
            <a:effectLst/>
          </c:spPr>
          <c:marker>
            <c:symbol val="none"/>
          </c:marker>
          <c:val>
            <c:numRef>
              <c:f>Schedules!$F$263:$AC$263</c:f>
            </c:numRef>
          </c:val>
          <c:smooth val="0"/>
          <c:extLst>
            <c:ext xmlns:c16="http://schemas.microsoft.com/office/drawing/2014/chart" uri="{C3380CC4-5D6E-409C-BE32-E72D297353CC}">
              <c16:uniqueId val="{00000001-5C6F-4BB5-9936-EE875CECB71C}"/>
            </c:ext>
          </c:extLst>
        </c:ser>
        <c:ser>
          <c:idx val="2"/>
          <c:order val="2"/>
          <c:tx>
            <c:strRef>
              <c:f>Schedules!$E$264</c:f>
            </c:strRef>
          </c:tx>
          <c:spPr>
            <a:ln w="28575" cap="rnd">
              <a:solidFill>
                <a:schemeClr val="accent3"/>
              </a:solidFill>
              <a:round/>
            </a:ln>
            <a:effectLst/>
          </c:spPr>
          <c:marker>
            <c:symbol val="none"/>
          </c:marker>
          <c:val>
            <c:numRef>
              <c:f>Schedules!$F$264:$AC$264</c:f>
            </c:numRef>
          </c:val>
          <c:smooth val="0"/>
          <c:extLst>
            <c:ext xmlns:c16="http://schemas.microsoft.com/office/drawing/2014/chart" uri="{C3380CC4-5D6E-409C-BE32-E72D297353CC}">
              <c16:uniqueId val="{00000002-5C6F-4BB5-9936-EE875CECB71C}"/>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Schedules!$C$256</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Schedules!$E$256</c:f>
            </c:strRef>
          </c:tx>
          <c:spPr>
            <a:ln w="28575" cap="rnd">
              <a:solidFill>
                <a:schemeClr val="accent1"/>
              </a:solidFill>
              <a:round/>
            </a:ln>
            <a:effectLst/>
          </c:spPr>
          <c:marker>
            <c:symbol val="none"/>
          </c:marker>
          <c:val>
            <c:numRef>
              <c:f>Schedules!$F$256:$AC$256</c:f>
            </c:numRef>
          </c:val>
          <c:smooth val="0"/>
          <c:extLst>
            <c:ext xmlns:c16="http://schemas.microsoft.com/office/drawing/2014/chart" uri="{C3380CC4-5D6E-409C-BE32-E72D297353CC}">
              <c16:uniqueId val="{00000000-EA78-4784-9B8C-DBA74B6B59EE}"/>
            </c:ext>
          </c:extLst>
        </c:ser>
        <c:ser>
          <c:idx val="1"/>
          <c:order val="1"/>
          <c:tx>
            <c:strRef>
              <c:f>Schedules!$E$257</c:f>
            </c:strRef>
          </c:tx>
          <c:spPr>
            <a:ln w="28575" cap="rnd">
              <a:solidFill>
                <a:schemeClr val="accent2"/>
              </a:solidFill>
              <a:round/>
            </a:ln>
            <a:effectLst/>
          </c:spPr>
          <c:marker>
            <c:symbol val="none"/>
          </c:marker>
          <c:val>
            <c:numRef>
              <c:f>Schedules!$F$257:$AC$257</c:f>
            </c:numRef>
          </c:val>
          <c:smooth val="0"/>
          <c:extLst>
            <c:ext xmlns:c16="http://schemas.microsoft.com/office/drawing/2014/chart" uri="{C3380CC4-5D6E-409C-BE32-E72D297353CC}">
              <c16:uniqueId val="{00000001-EA78-4784-9B8C-DBA74B6B59EE}"/>
            </c:ext>
          </c:extLst>
        </c:ser>
        <c:ser>
          <c:idx val="2"/>
          <c:order val="2"/>
          <c:tx>
            <c:strRef>
              <c:f>Schedules!$E$258</c:f>
            </c:strRef>
          </c:tx>
          <c:spPr>
            <a:ln w="28575" cap="rnd">
              <a:solidFill>
                <a:schemeClr val="accent3"/>
              </a:solidFill>
              <a:round/>
            </a:ln>
            <a:effectLst/>
          </c:spPr>
          <c:marker>
            <c:symbol val="none"/>
          </c:marker>
          <c:val>
            <c:numRef>
              <c:f>Schedules!$F$258:$AC$258</c:f>
            </c:numRef>
          </c:val>
          <c:smooth val="0"/>
          <c:extLst>
            <c:ext xmlns:c16="http://schemas.microsoft.com/office/drawing/2014/chart" uri="{C3380CC4-5D6E-409C-BE32-E72D297353CC}">
              <c16:uniqueId val="{00000002-EA78-4784-9B8C-DBA74B6B59EE}"/>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Schedules!$C$259</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Schedules!$E$259</c:f>
            </c:strRef>
          </c:tx>
          <c:spPr>
            <a:ln w="28575" cap="rnd">
              <a:solidFill>
                <a:schemeClr val="accent1"/>
              </a:solidFill>
              <a:round/>
            </a:ln>
            <a:effectLst/>
          </c:spPr>
          <c:marker>
            <c:symbol val="none"/>
          </c:marker>
          <c:val>
            <c:numRef>
              <c:f>Schedules!$F$259:$AC$259</c:f>
            </c:numRef>
          </c:val>
          <c:smooth val="0"/>
          <c:extLst>
            <c:ext xmlns:c16="http://schemas.microsoft.com/office/drawing/2014/chart" uri="{C3380CC4-5D6E-409C-BE32-E72D297353CC}">
              <c16:uniqueId val="{00000000-BDAE-4405-9BD8-A32F92A3AD3D}"/>
            </c:ext>
          </c:extLst>
        </c:ser>
        <c:ser>
          <c:idx val="1"/>
          <c:order val="1"/>
          <c:tx>
            <c:strRef>
              <c:f>Schedules!$E$260</c:f>
            </c:strRef>
          </c:tx>
          <c:spPr>
            <a:ln w="28575" cap="rnd">
              <a:solidFill>
                <a:schemeClr val="accent2"/>
              </a:solidFill>
              <a:round/>
            </a:ln>
            <a:effectLst/>
          </c:spPr>
          <c:marker>
            <c:symbol val="none"/>
          </c:marker>
          <c:val>
            <c:numRef>
              <c:f>Schedules!$F$260:$AC$260</c:f>
            </c:numRef>
          </c:val>
          <c:smooth val="0"/>
          <c:extLst>
            <c:ext xmlns:c16="http://schemas.microsoft.com/office/drawing/2014/chart" uri="{C3380CC4-5D6E-409C-BE32-E72D297353CC}">
              <c16:uniqueId val="{00000001-BDAE-4405-9BD8-A32F92A3AD3D}"/>
            </c:ext>
          </c:extLst>
        </c:ser>
        <c:ser>
          <c:idx val="2"/>
          <c:order val="2"/>
          <c:tx>
            <c:strRef>
              <c:f>Schedules!$E$261</c:f>
            </c:strRef>
          </c:tx>
          <c:spPr>
            <a:ln w="28575" cap="rnd">
              <a:solidFill>
                <a:schemeClr val="accent3"/>
              </a:solidFill>
              <a:round/>
            </a:ln>
            <a:effectLst/>
          </c:spPr>
          <c:marker>
            <c:symbol val="none"/>
          </c:marker>
          <c:val>
            <c:numRef>
              <c:f>Schedules!$F$261:$AC$261</c:f>
            </c:numRef>
          </c:val>
          <c:smooth val="0"/>
          <c:extLst>
            <c:ext xmlns:c16="http://schemas.microsoft.com/office/drawing/2014/chart" uri="{C3380CC4-5D6E-409C-BE32-E72D297353CC}">
              <c16:uniqueId val="{00000002-BDAE-4405-9BD8-A32F92A3AD3D}"/>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Schedules!$C$265</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Schedules!$E$265</c:f>
            </c:strRef>
          </c:tx>
          <c:spPr>
            <a:ln w="28575" cap="rnd">
              <a:solidFill>
                <a:schemeClr val="accent1"/>
              </a:solidFill>
              <a:round/>
            </a:ln>
            <a:effectLst/>
          </c:spPr>
          <c:marker>
            <c:symbol val="none"/>
          </c:marker>
          <c:val>
            <c:numRef>
              <c:f>Schedules!$F$265:$AC$265</c:f>
            </c:numRef>
          </c:val>
          <c:smooth val="0"/>
          <c:extLst>
            <c:ext xmlns:c16="http://schemas.microsoft.com/office/drawing/2014/chart" uri="{C3380CC4-5D6E-409C-BE32-E72D297353CC}">
              <c16:uniqueId val="{00000000-3840-451B-8F20-290A97B7972B}"/>
            </c:ext>
          </c:extLst>
        </c:ser>
        <c:ser>
          <c:idx val="1"/>
          <c:order val="1"/>
          <c:tx>
            <c:strRef>
              <c:f>Schedules!$E$266</c:f>
            </c:strRef>
          </c:tx>
          <c:spPr>
            <a:ln w="28575" cap="rnd">
              <a:solidFill>
                <a:schemeClr val="accent2"/>
              </a:solidFill>
              <a:round/>
            </a:ln>
            <a:effectLst/>
          </c:spPr>
          <c:marker>
            <c:symbol val="none"/>
          </c:marker>
          <c:val>
            <c:numRef>
              <c:f>Schedules!$F$266:$AC$266</c:f>
            </c:numRef>
          </c:val>
          <c:smooth val="0"/>
          <c:extLst>
            <c:ext xmlns:c16="http://schemas.microsoft.com/office/drawing/2014/chart" uri="{C3380CC4-5D6E-409C-BE32-E72D297353CC}">
              <c16:uniqueId val="{00000001-3840-451B-8F20-290A97B7972B}"/>
            </c:ext>
          </c:extLst>
        </c:ser>
        <c:ser>
          <c:idx val="2"/>
          <c:order val="2"/>
          <c:tx>
            <c:strRef>
              <c:f>Schedules!$E$267</c:f>
            </c:strRef>
          </c:tx>
          <c:spPr>
            <a:ln w="28575" cap="rnd">
              <a:solidFill>
                <a:schemeClr val="accent3"/>
              </a:solidFill>
              <a:round/>
            </a:ln>
            <a:effectLst/>
          </c:spPr>
          <c:marker>
            <c:symbol val="none"/>
          </c:marker>
          <c:val>
            <c:numRef>
              <c:f>Schedules!$F$267:$AC$267</c:f>
            </c:numRef>
          </c:val>
          <c:smooth val="0"/>
          <c:extLst>
            <c:ext xmlns:c16="http://schemas.microsoft.com/office/drawing/2014/chart" uri="{C3380CC4-5D6E-409C-BE32-E72D297353CC}">
              <c16:uniqueId val="{00000002-3840-451B-8F20-290A97B7972B}"/>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Schedules!$C$268</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Schedules!$E$268</c:f>
            </c:strRef>
          </c:tx>
          <c:spPr>
            <a:ln w="28575" cap="rnd">
              <a:solidFill>
                <a:schemeClr val="accent1"/>
              </a:solidFill>
              <a:round/>
            </a:ln>
            <a:effectLst/>
          </c:spPr>
          <c:marker>
            <c:symbol val="none"/>
          </c:marker>
          <c:val>
            <c:numRef>
              <c:f>Schedules!$F$268:$AC$268</c:f>
            </c:numRef>
          </c:val>
          <c:smooth val="0"/>
          <c:extLst>
            <c:ext xmlns:c16="http://schemas.microsoft.com/office/drawing/2014/chart" uri="{C3380CC4-5D6E-409C-BE32-E72D297353CC}">
              <c16:uniqueId val="{00000000-4E6E-42BE-B7AF-1827D11C8191}"/>
            </c:ext>
          </c:extLst>
        </c:ser>
        <c:ser>
          <c:idx val="1"/>
          <c:order val="1"/>
          <c:tx>
            <c:strRef>
              <c:f>Schedules!$E$269</c:f>
            </c:strRef>
          </c:tx>
          <c:spPr>
            <a:ln w="28575" cap="rnd">
              <a:solidFill>
                <a:schemeClr val="accent2"/>
              </a:solidFill>
              <a:round/>
            </a:ln>
            <a:effectLst/>
          </c:spPr>
          <c:marker>
            <c:symbol val="none"/>
          </c:marker>
          <c:val>
            <c:numRef>
              <c:f>Schedules!$F$269:$AC$269</c:f>
            </c:numRef>
          </c:val>
          <c:smooth val="0"/>
          <c:extLst>
            <c:ext xmlns:c16="http://schemas.microsoft.com/office/drawing/2014/chart" uri="{C3380CC4-5D6E-409C-BE32-E72D297353CC}">
              <c16:uniqueId val="{00000001-4E6E-42BE-B7AF-1827D11C8191}"/>
            </c:ext>
          </c:extLst>
        </c:ser>
        <c:ser>
          <c:idx val="2"/>
          <c:order val="2"/>
          <c:tx>
            <c:strRef>
              <c:f>Schedules!$E$270</c:f>
            </c:strRef>
          </c:tx>
          <c:spPr>
            <a:ln w="28575" cap="rnd">
              <a:solidFill>
                <a:schemeClr val="accent3"/>
              </a:solidFill>
              <a:round/>
            </a:ln>
            <a:effectLst/>
          </c:spPr>
          <c:marker>
            <c:symbol val="none"/>
          </c:marker>
          <c:val>
            <c:numRef>
              <c:f>Schedules!$F$270:$AC$270</c:f>
            </c:numRef>
          </c:val>
          <c:smooth val="0"/>
          <c:extLst>
            <c:ext xmlns:c16="http://schemas.microsoft.com/office/drawing/2014/chart" uri="{C3380CC4-5D6E-409C-BE32-E72D297353CC}">
              <c16:uniqueId val="{00000002-4E6E-42BE-B7AF-1827D11C8191}"/>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sz="1000" b="1" i="0" u="none" strike="noStrike" kern="1200" spc="0" baseline="0">
                <a:solidFill>
                  <a:sysClr val="windowText" lastClr="000000"/>
                </a:solidFill>
                <a:latin typeface="Arial" panose="020B0604020202020204" pitchFamily="34" charset="0"/>
                <a:cs typeface="Arial" panose="020B0604020202020204" pitchFamily="34" charset="0"/>
              </a:rPr>
              <a:t>Assembly Elevator</a:t>
            </a:r>
          </a:p>
        </c:rich>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spPr>
            <a:ln w="28575" cap="rnd">
              <a:solidFill>
                <a:schemeClr val="accent1"/>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0-907A-4C38-9FF2-52FB7151DAD3}"/>
            </c:ext>
          </c:extLst>
        </c:ser>
        <c:ser>
          <c:idx val="1"/>
          <c:order val="1"/>
          <c:spPr>
            <a:ln w="28575" cap="rnd">
              <a:solidFill>
                <a:schemeClr val="accent2"/>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1-907A-4C38-9FF2-52FB7151DAD3}"/>
            </c:ext>
          </c:extLst>
        </c:ser>
        <c:ser>
          <c:idx val="2"/>
          <c:order val="2"/>
          <c:spPr>
            <a:ln w="28575" cap="rnd">
              <a:solidFill>
                <a:schemeClr val="accent3"/>
              </a:solidFill>
              <a:round/>
            </a:ln>
            <a:effectLst/>
          </c:spPr>
          <c:marker>
            <c:symbol val="none"/>
          </c:marker>
          <c:val>
            <c:numRef>
              <c:f>Schedules!#REF!</c:f>
              <c:numCache>
                <c:formatCode>General</c:formatCode>
                <c:ptCount val="1"/>
                <c:pt idx="0">
                  <c:v>1</c:v>
                </c:pt>
              </c:numCache>
            </c:numRef>
          </c:val>
          <c:smooth val="0"/>
          <c:extLst>
            <c:ext xmlns:c15="http://schemas.microsoft.com/office/drawing/2012/chart" uri="{02D57815-91ED-43cb-92C2-25804820EDAC}">
              <c15:filteredSeriesTitle>
                <c15:tx>
                  <c:strRef>
                    <c:extLst>
                      <c:ext uri="{02D57815-91ED-43cb-92C2-25804820EDAC}">
                        <c15:formulaRef>
                          <c15:sqref>Schedules!#REF!</c15:sqref>
                        </c15:formulaRef>
                      </c:ext>
                    </c:extLst>
                    <c:strCache>
                      <c:ptCount val="1"/>
                      <c:pt idx="0">
                        <c:v>#REF!</c:v>
                      </c:pt>
                    </c:strCache>
                  </c:strRef>
                </c15:tx>
              </c15:filteredSeriesTitle>
            </c:ext>
            <c:ext xmlns:c16="http://schemas.microsoft.com/office/drawing/2014/chart" uri="{C3380CC4-5D6E-409C-BE32-E72D297353CC}">
              <c16:uniqueId val="{00000002-907A-4C38-9FF2-52FB7151DAD3}"/>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Schedules!$C$262</c:f>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Schedules!$E$262</c:f>
            </c:strRef>
          </c:tx>
          <c:spPr>
            <a:ln w="28575" cap="rnd">
              <a:solidFill>
                <a:schemeClr val="accent1"/>
              </a:solidFill>
              <a:round/>
            </a:ln>
            <a:effectLst/>
          </c:spPr>
          <c:marker>
            <c:symbol val="none"/>
          </c:marker>
          <c:val>
            <c:numRef>
              <c:f>Schedules!$F$262:$AC$262</c:f>
            </c:numRef>
          </c:val>
          <c:smooth val="0"/>
          <c:extLst>
            <c:ext xmlns:c16="http://schemas.microsoft.com/office/drawing/2014/chart" uri="{C3380CC4-5D6E-409C-BE32-E72D297353CC}">
              <c16:uniqueId val="{00000000-D4AC-421D-8625-0B54D266C8C1}"/>
            </c:ext>
          </c:extLst>
        </c:ser>
        <c:ser>
          <c:idx val="1"/>
          <c:order val="1"/>
          <c:tx>
            <c:strRef>
              <c:f>Schedules!$E$263</c:f>
            </c:strRef>
          </c:tx>
          <c:spPr>
            <a:ln w="28575" cap="rnd">
              <a:solidFill>
                <a:schemeClr val="accent2"/>
              </a:solidFill>
              <a:round/>
            </a:ln>
            <a:effectLst/>
          </c:spPr>
          <c:marker>
            <c:symbol val="none"/>
          </c:marker>
          <c:val>
            <c:numRef>
              <c:f>Schedules!$F$263:$AC$263</c:f>
            </c:numRef>
          </c:val>
          <c:smooth val="0"/>
          <c:extLst>
            <c:ext xmlns:c16="http://schemas.microsoft.com/office/drawing/2014/chart" uri="{C3380CC4-5D6E-409C-BE32-E72D297353CC}">
              <c16:uniqueId val="{00000001-D4AC-421D-8625-0B54D266C8C1}"/>
            </c:ext>
          </c:extLst>
        </c:ser>
        <c:ser>
          <c:idx val="2"/>
          <c:order val="2"/>
          <c:tx>
            <c:strRef>
              <c:f>Schedules!$E$264</c:f>
            </c:strRef>
          </c:tx>
          <c:spPr>
            <a:ln w="28575" cap="rnd">
              <a:solidFill>
                <a:schemeClr val="accent3"/>
              </a:solidFill>
              <a:round/>
            </a:ln>
            <a:effectLst/>
          </c:spPr>
          <c:marker>
            <c:symbol val="none"/>
          </c:marker>
          <c:val>
            <c:numRef>
              <c:f>Schedules!$F$264:$AC$264</c:f>
            </c:numRef>
          </c:val>
          <c:smooth val="0"/>
          <c:extLst>
            <c:ext xmlns:c16="http://schemas.microsoft.com/office/drawing/2014/chart" uri="{C3380CC4-5D6E-409C-BE32-E72D297353CC}">
              <c16:uniqueId val="{00000002-D4AC-421D-8625-0B54D266C8C1}"/>
            </c:ext>
          </c:extLst>
        </c:ser>
        <c:dLbls>
          <c:showLegendKey val="0"/>
          <c:showVal val="0"/>
          <c:showCatName val="0"/>
          <c:showSerName val="0"/>
          <c:showPercent val="0"/>
          <c:showBubbleSize val="0"/>
        </c:dLbls>
        <c:marker val="1"/>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r>
              <a:rPr lang="en-US"/>
              <a:t>HotelLarge CalBEM Prototype vs. CEUS 2022</a:t>
            </a:r>
          </a:p>
        </c:rich>
      </c:tx>
      <c:overlay val="0"/>
      <c:spPr>
        <a:noFill/>
        <a:ln>
          <a:noFill/>
        </a:ln>
        <a:effectLst/>
      </c:spPr>
      <c:txPr>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8.1217396810105952E-2"/>
          <c:y val="0.11932366122078511"/>
          <c:w val="0.90542115949594548"/>
          <c:h val="0.65425117460190341"/>
        </c:manualLayout>
      </c:layout>
      <c:barChart>
        <c:barDir val="col"/>
        <c:grouping val="stacked"/>
        <c:varyColors val="0"/>
        <c:ser>
          <c:idx val="1"/>
          <c:order val="0"/>
          <c:tx>
            <c:strRef>
              <c:f>'Energy Usage'!$V$2</c:f>
              <c:strCache>
                <c:ptCount val="1"/>
                <c:pt idx="0">
                  <c:v>Acceptable Range (25% Lower)</c:v>
                </c:pt>
              </c:strCache>
            </c:strRef>
          </c:tx>
          <c:spPr>
            <a:noFill/>
            <a:ln>
              <a:noFill/>
            </a:ln>
            <a:effectLst/>
          </c:spPr>
          <c:invertIfNegative val="0"/>
          <c:val>
            <c:numRef>
              <c:f>'Energy Usage'!$V$3:$V$18</c:f>
              <c:numCache>
                <c:formatCode>General</c:formatCode>
                <c:ptCount val="16"/>
                <c:pt idx="0">
                  <c:v>42.2</c:v>
                </c:pt>
                <c:pt idx="1">
                  <c:v>37.200000000000003</c:v>
                </c:pt>
                <c:pt idx="2">
                  <c:v>42</c:v>
                </c:pt>
                <c:pt idx="3">
                  <c:v>40.4</c:v>
                </c:pt>
                <c:pt idx="4">
                  <c:v>50.7</c:v>
                </c:pt>
                <c:pt idx="5">
                  <c:v>50.2</c:v>
                </c:pt>
                <c:pt idx="6">
                  <c:v>52.9</c:v>
                </c:pt>
                <c:pt idx="7">
                  <c:v>49.4</c:v>
                </c:pt>
                <c:pt idx="8">
                  <c:v>48.4</c:v>
                </c:pt>
                <c:pt idx="9">
                  <c:v>60.5</c:v>
                </c:pt>
                <c:pt idx="10">
                  <c:v>65.2</c:v>
                </c:pt>
                <c:pt idx="11">
                  <c:v>59.6</c:v>
                </c:pt>
                <c:pt idx="12">
                  <c:v>53.3</c:v>
                </c:pt>
                <c:pt idx="13">
                  <c:v>59.8</c:v>
                </c:pt>
                <c:pt idx="14">
                  <c:v>58.1</c:v>
                </c:pt>
                <c:pt idx="15">
                  <c:v>66.3</c:v>
                </c:pt>
              </c:numCache>
            </c:numRef>
          </c:val>
          <c:extLst>
            <c:ext xmlns:c16="http://schemas.microsoft.com/office/drawing/2014/chart" uri="{C3380CC4-5D6E-409C-BE32-E72D297353CC}">
              <c16:uniqueId val="{00000000-61C8-4AF9-B68D-71772D12A5D9}"/>
            </c:ext>
          </c:extLst>
        </c:ser>
        <c:ser>
          <c:idx val="2"/>
          <c:order val="1"/>
          <c:tx>
            <c:strRef>
              <c:f>'Energy Usage'!$W$2</c:f>
              <c:strCache>
                <c:ptCount val="1"/>
                <c:pt idx="0">
                  <c:v>CEUS 2022 Acceptable EUI Range </c:v>
                </c:pt>
              </c:strCache>
            </c:strRef>
          </c:tx>
          <c:spPr>
            <a:solidFill>
              <a:schemeClr val="accent4">
                <a:lumMod val="20000"/>
                <a:lumOff val="80000"/>
              </a:schemeClr>
            </a:solidFill>
            <a:ln>
              <a:solidFill>
                <a:schemeClr val="accent4"/>
              </a:solidFill>
            </a:ln>
            <a:effectLst/>
          </c:spPr>
          <c:invertIfNegative val="0"/>
          <c:val>
            <c:numRef>
              <c:f>'Energy Usage'!$W$3:$W$18</c:f>
              <c:numCache>
                <c:formatCode>General</c:formatCode>
                <c:ptCount val="16"/>
                <c:pt idx="0">
                  <c:v>28.1</c:v>
                </c:pt>
                <c:pt idx="1">
                  <c:v>24.8</c:v>
                </c:pt>
                <c:pt idx="2">
                  <c:v>28</c:v>
                </c:pt>
                <c:pt idx="3">
                  <c:v>26.9</c:v>
                </c:pt>
                <c:pt idx="4">
                  <c:v>33.799999999999997</c:v>
                </c:pt>
                <c:pt idx="5">
                  <c:v>33.5</c:v>
                </c:pt>
                <c:pt idx="6">
                  <c:v>35.299999999999997</c:v>
                </c:pt>
                <c:pt idx="7">
                  <c:v>32.9</c:v>
                </c:pt>
                <c:pt idx="8">
                  <c:v>32.299999999999997</c:v>
                </c:pt>
                <c:pt idx="9">
                  <c:v>40.4</c:v>
                </c:pt>
                <c:pt idx="10">
                  <c:v>43.5</c:v>
                </c:pt>
                <c:pt idx="11">
                  <c:v>39.700000000000003</c:v>
                </c:pt>
                <c:pt idx="12">
                  <c:v>35.5</c:v>
                </c:pt>
                <c:pt idx="13">
                  <c:v>39.9</c:v>
                </c:pt>
                <c:pt idx="14">
                  <c:v>38.799999999999997</c:v>
                </c:pt>
                <c:pt idx="15">
                  <c:v>44.2</c:v>
                </c:pt>
              </c:numCache>
            </c:numRef>
          </c:val>
          <c:extLst>
            <c:ext xmlns:c16="http://schemas.microsoft.com/office/drawing/2014/chart" uri="{C3380CC4-5D6E-409C-BE32-E72D297353CC}">
              <c16:uniqueId val="{00000001-61C8-4AF9-B68D-71772D12A5D9}"/>
            </c:ext>
          </c:extLst>
        </c:ser>
        <c:dLbls>
          <c:showLegendKey val="0"/>
          <c:showVal val="0"/>
          <c:showCatName val="0"/>
          <c:showSerName val="0"/>
          <c:showPercent val="0"/>
          <c:showBubbleSize val="0"/>
        </c:dLbls>
        <c:gapWidth val="150"/>
        <c:overlap val="100"/>
        <c:axId val="758910767"/>
        <c:axId val="758909327"/>
      </c:barChart>
      <c:scatterChart>
        <c:scatterStyle val="lineMarker"/>
        <c:varyColors val="0"/>
        <c:ser>
          <c:idx val="0"/>
          <c:order val="2"/>
          <c:tx>
            <c:strRef>
              <c:f>'Energy Usage'!$E$2</c:f>
              <c:strCache>
                <c:ptCount val="1"/>
                <c:pt idx="0">
                  <c:v>CalBEM Total  EUI (KBTU/ft²)</c:v>
                </c:pt>
              </c:strCache>
            </c:strRef>
          </c:tx>
          <c:spPr>
            <a:ln w="25400" cap="rnd">
              <a:noFill/>
              <a:round/>
            </a:ln>
            <a:effectLst/>
          </c:spPr>
          <c:marker>
            <c:symbol val="square"/>
            <c:size val="7"/>
            <c:spPr>
              <a:solidFill>
                <a:schemeClr val="accent1"/>
              </a:solidFill>
              <a:ln w="9525">
                <a:solidFill>
                  <a:srgbClr val="001132"/>
                </a:solidFill>
              </a:ln>
              <a:effectLst/>
            </c:spPr>
          </c:marker>
          <c:yVal>
            <c:numRef>
              <c:f>'Energy Usage'!$E$3:$E$18</c:f>
              <c:numCache>
                <c:formatCode>0.0</c:formatCode>
                <c:ptCount val="16"/>
                <c:pt idx="0">
                  <c:v>94.84820000000002</c:v>
                </c:pt>
                <c:pt idx="1">
                  <c:v>93.795299999999997</c:v>
                </c:pt>
                <c:pt idx="2">
                  <c:v>89.421199999999999</c:v>
                </c:pt>
                <c:pt idx="3">
                  <c:v>96.066399999999987</c:v>
                </c:pt>
                <c:pt idx="4">
                  <c:v>89.151200000000017</c:v>
                </c:pt>
                <c:pt idx="5">
                  <c:v>85.27170000000001</c:v>
                </c:pt>
                <c:pt idx="6">
                  <c:v>85.236400000000003</c:v>
                </c:pt>
                <c:pt idx="7">
                  <c:v>88.384900000000002</c:v>
                </c:pt>
                <c:pt idx="8">
                  <c:v>89.088799999999992</c:v>
                </c:pt>
                <c:pt idx="9">
                  <c:v>91.078800000000001</c:v>
                </c:pt>
                <c:pt idx="10">
                  <c:v>99.223000000000013</c:v>
                </c:pt>
                <c:pt idx="11">
                  <c:v>94.102499999999992</c:v>
                </c:pt>
                <c:pt idx="12">
                  <c:v>96.826999999999998</c:v>
                </c:pt>
                <c:pt idx="13">
                  <c:v>97.939600000000013</c:v>
                </c:pt>
                <c:pt idx="14">
                  <c:v>96.376199999999997</c:v>
                </c:pt>
                <c:pt idx="15">
                  <c:v>100.3617</c:v>
                </c:pt>
              </c:numCache>
            </c:numRef>
          </c:yVal>
          <c:smooth val="0"/>
          <c:extLst>
            <c:ext xmlns:c16="http://schemas.microsoft.com/office/drawing/2014/chart" uri="{C3380CC4-5D6E-409C-BE32-E72D297353CC}">
              <c16:uniqueId val="{00000002-61C8-4AF9-B68D-71772D12A5D9}"/>
            </c:ext>
          </c:extLst>
        </c:ser>
        <c:ser>
          <c:idx val="3"/>
          <c:order val="3"/>
          <c:tx>
            <c:strRef>
              <c:f>'Energy Usage'!$H$2</c:f>
              <c:strCache>
                <c:ptCount val="1"/>
                <c:pt idx="0">
                  <c:v>New Construction  Total EUI (KBTU/ft²)</c:v>
                </c:pt>
              </c:strCache>
            </c:strRef>
          </c:tx>
          <c:spPr>
            <a:ln w="25400" cap="rnd">
              <a:noFill/>
              <a:round/>
            </a:ln>
            <a:effectLst/>
          </c:spPr>
          <c:marker>
            <c:symbol val="diamond"/>
            <c:size val="7"/>
            <c:spPr>
              <a:solidFill>
                <a:srgbClr val="00B050"/>
              </a:solidFill>
              <a:ln w="9525">
                <a:solidFill>
                  <a:srgbClr val="001132"/>
                </a:solidFill>
              </a:ln>
              <a:effectLst/>
            </c:spPr>
          </c:marker>
          <c:yVal>
            <c:numRef>
              <c:f>'Energy Usage'!$H$3:$H$18</c:f>
              <c:numCache>
                <c:formatCode>General</c:formatCode>
                <c:ptCount val="16"/>
                <c:pt idx="0">
                  <c:v>89.17</c:v>
                </c:pt>
                <c:pt idx="1">
                  <c:v>86.960000000000008</c:v>
                </c:pt>
                <c:pt idx="2">
                  <c:v>82.22</c:v>
                </c:pt>
                <c:pt idx="3">
                  <c:v>88.1</c:v>
                </c:pt>
                <c:pt idx="4">
                  <c:v>82.509999999999991</c:v>
                </c:pt>
                <c:pt idx="5">
                  <c:v>79.509999999999991</c:v>
                </c:pt>
                <c:pt idx="6">
                  <c:v>79.389999999999986</c:v>
                </c:pt>
                <c:pt idx="7">
                  <c:v>82.37</c:v>
                </c:pt>
                <c:pt idx="8">
                  <c:v>82.82</c:v>
                </c:pt>
                <c:pt idx="9">
                  <c:v>84.53</c:v>
                </c:pt>
                <c:pt idx="10">
                  <c:v>91.45</c:v>
                </c:pt>
                <c:pt idx="11">
                  <c:v>87.97</c:v>
                </c:pt>
                <c:pt idx="12">
                  <c:v>89.460000000000008</c:v>
                </c:pt>
                <c:pt idx="13">
                  <c:v>90.449999999999989</c:v>
                </c:pt>
                <c:pt idx="14">
                  <c:v>91.009999999999991</c:v>
                </c:pt>
                <c:pt idx="15">
                  <c:v>91.61</c:v>
                </c:pt>
              </c:numCache>
            </c:numRef>
          </c:yVal>
          <c:smooth val="0"/>
          <c:extLst>
            <c:ext xmlns:c16="http://schemas.microsoft.com/office/drawing/2014/chart" uri="{C3380CC4-5D6E-409C-BE32-E72D297353CC}">
              <c16:uniqueId val="{00000003-61C8-4AF9-B68D-71772D12A5D9}"/>
            </c:ext>
          </c:extLst>
        </c:ser>
        <c:dLbls>
          <c:showLegendKey val="0"/>
          <c:showVal val="0"/>
          <c:showCatName val="0"/>
          <c:showSerName val="0"/>
          <c:showPercent val="0"/>
          <c:showBubbleSize val="0"/>
        </c:dLbls>
        <c:axId val="758910767"/>
        <c:axId val="758909327"/>
      </c:scatterChart>
      <c:catAx>
        <c:axId val="758910767"/>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Climate Zone</a:t>
                </a:r>
              </a:p>
            </c:rich>
          </c:tx>
          <c:layout>
            <c:manualLayout>
              <c:xMode val="edge"/>
              <c:yMode val="edge"/>
              <c:x val="0.48255556526229237"/>
              <c:y val="0.8403780585805608"/>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09327"/>
        <c:crosses val="autoZero"/>
        <c:auto val="1"/>
        <c:lblAlgn val="ctr"/>
        <c:lblOffset val="100"/>
        <c:noMultiLvlLbl val="0"/>
      </c:catAx>
      <c:valAx>
        <c:axId val="758909327"/>
        <c:scaling>
          <c:orientation val="minMax"/>
          <c:min val="2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Total EUI (kBtu/ft²)</a:t>
                </a:r>
              </a:p>
            </c:rich>
          </c:tx>
          <c:layout>
            <c:manualLayout>
              <c:xMode val="edge"/>
              <c:yMode val="edge"/>
              <c:x val="6.1162073619680356E-3"/>
              <c:y val="0.2802664576629727"/>
            </c:manualLayout>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10767"/>
        <c:crosses val="autoZero"/>
        <c:crossBetween val="between"/>
        <c:majorUnit val="10"/>
      </c:valAx>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sz="1400" baseline="0"/>
      </a:pPr>
      <a:endParaRPr lang="en-US"/>
    </a:p>
  </c:txPr>
  <c:printSettings>
    <c:headerFooter/>
    <c:pageMargins b="0.75" l="0.7" r="0.7" t="0.75" header="0.3" footer="0.3"/>
    <c:pageSetup/>
  </c:printSettings>
</c:chartSpace>
</file>

<file path=xl/charts/chart5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r>
              <a:rPr lang="en-US"/>
              <a:t>HotelLarge CalBEM Prototype vs. National Average</a:t>
            </a:r>
          </a:p>
        </c:rich>
      </c:tx>
      <c:overlay val="0"/>
      <c:spPr>
        <a:noFill/>
        <a:ln>
          <a:noFill/>
        </a:ln>
        <a:effectLst/>
      </c:spPr>
      <c:txPr>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1"/>
          <c:order val="0"/>
          <c:tx>
            <c:strRef>
              <c:f>'Energy Usage'!$K$2</c:f>
              <c:strCache>
                <c:ptCount val="1"/>
                <c:pt idx="0">
                  <c:v>Acceptable Range (25% Lower)</c:v>
                </c:pt>
              </c:strCache>
            </c:strRef>
          </c:tx>
          <c:spPr>
            <a:noFill/>
            <a:ln>
              <a:noFill/>
            </a:ln>
            <a:effectLst/>
          </c:spPr>
          <c:invertIfNegative val="0"/>
          <c:val>
            <c:numRef>
              <c:f>'Energy Usage'!$K$3:$K$18</c:f>
              <c:numCache>
                <c:formatCode>0.0</c:formatCode>
                <c:ptCount val="16"/>
                <c:pt idx="0">
                  <c:v>66.599999999999994</c:v>
                </c:pt>
                <c:pt idx="1">
                  <c:v>63.150000000000006</c:v>
                </c:pt>
                <c:pt idx="2">
                  <c:v>61.650000000000006</c:v>
                </c:pt>
                <c:pt idx="3">
                  <c:v>64.650000000000006</c:v>
                </c:pt>
                <c:pt idx="4">
                  <c:v>60.974999999999994</c:v>
                </c:pt>
                <c:pt idx="5">
                  <c:v>60.449999999999996</c:v>
                </c:pt>
                <c:pt idx="6">
                  <c:v>60.599999999999994</c:v>
                </c:pt>
                <c:pt idx="7">
                  <c:v>62.550000000000004</c:v>
                </c:pt>
                <c:pt idx="8">
                  <c:v>62.849999999999994</c:v>
                </c:pt>
                <c:pt idx="9">
                  <c:v>64.125</c:v>
                </c:pt>
                <c:pt idx="10">
                  <c:v>67.275000000000006</c:v>
                </c:pt>
                <c:pt idx="11">
                  <c:v>65.175000000000011</c:v>
                </c:pt>
                <c:pt idx="12">
                  <c:v>67.574999999999989</c:v>
                </c:pt>
                <c:pt idx="13">
                  <c:v>67.875</c:v>
                </c:pt>
                <c:pt idx="14">
                  <c:v>71.474999999999994</c:v>
                </c:pt>
                <c:pt idx="15">
                  <c:v>68.625</c:v>
                </c:pt>
              </c:numCache>
            </c:numRef>
          </c:val>
          <c:extLst>
            <c:ext xmlns:c16="http://schemas.microsoft.com/office/drawing/2014/chart" uri="{C3380CC4-5D6E-409C-BE32-E72D297353CC}">
              <c16:uniqueId val="{00000000-7D6E-436F-89D5-8B5566B3625E}"/>
            </c:ext>
          </c:extLst>
        </c:ser>
        <c:ser>
          <c:idx val="2"/>
          <c:order val="1"/>
          <c:tx>
            <c:strRef>
              <c:f>'Energy Usage'!$M$2</c:f>
              <c:strCache>
                <c:ptCount val="1"/>
                <c:pt idx="0">
                  <c:v>National Average Acceptable EUI Range</c:v>
                </c:pt>
              </c:strCache>
            </c:strRef>
          </c:tx>
          <c:spPr>
            <a:solidFill>
              <a:srgbClr val="CCCCFF"/>
            </a:solidFill>
            <a:ln>
              <a:solidFill>
                <a:srgbClr val="002F8E"/>
              </a:solidFill>
            </a:ln>
            <a:effectLst/>
          </c:spPr>
          <c:invertIfNegative val="0"/>
          <c:val>
            <c:numRef>
              <c:f>'Energy Usage'!$M$3:$M$18</c:f>
              <c:numCache>
                <c:formatCode>0.0</c:formatCode>
                <c:ptCount val="16"/>
                <c:pt idx="0">
                  <c:v>44.400000000000006</c:v>
                </c:pt>
                <c:pt idx="1">
                  <c:v>42.099999999999994</c:v>
                </c:pt>
                <c:pt idx="2">
                  <c:v>41.099999999999994</c:v>
                </c:pt>
                <c:pt idx="3">
                  <c:v>43.099999999999994</c:v>
                </c:pt>
                <c:pt idx="4">
                  <c:v>40.650000000000006</c:v>
                </c:pt>
                <c:pt idx="5">
                  <c:v>40.300000000000004</c:v>
                </c:pt>
                <c:pt idx="6">
                  <c:v>40.400000000000006</c:v>
                </c:pt>
                <c:pt idx="7">
                  <c:v>41.699999999999996</c:v>
                </c:pt>
                <c:pt idx="8">
                  <c:v>41.900000000000006</c:v>
                </c:pt>
                <c:pt idx="9">
                  <c:v>42.75</c:v>
                </c:pt>
                <c:pt idx="10">
                  <c:v>44.849999999999994</c:v>
                </c:pt>
                <c:pt idx="11">
                  <c:v>43.449999999999989</c:v>
                </c:pt>
                <c:pt idx="12">
                  <c:v>45.050000000000011</c:v>
                </c:pt>
                <c:pt idx="13">
                  <c:v>45.25</c:v>
                </c:pt>
                <c:pt idx="14">
                  <c:v>47.650000000000006</c:v>
                </c:pt>
                <c:pt idx="15">
                  <c:v>45.75</c:v>
                </c:pt>
              </c:numCache>
            </c:numRef>
          </c:val>
          <c:extLst>
            <c:ext xmlns:c16="http://schemas.microsoft.com/office/drawing/2014/chart" uri="{C3380CC4-5D6E-409C-BE32-E72D297353CC}">
              <c16:uniqueId val="{00000001-7D6E-436F-89D5-8B5566B3625E}"/>
            </c:ext>
          </c:extLst>
        </c:ser>
        <c:dLbls>
          <c:showLegendKey val="0"/>
          <c:showVal val="0"/>
          <c:showCatName val="0"/>
          <c:showSerName val="0"/>
          <c:showPercent val="0"/>
          <c:showBubbleSize val="0"/>
        </c:dLbls>
        <c:gapWidth val="150"/>
        <c:overlap val="100"/>
        <c:axId val="758910767"/>
        <c:axId val="758909327"/>
      </c:barChart>
      <c:scatterChart>
        <c:scatterStyle val="lineMarker"/>
        <c:varyColors val="0"/>
        <c:ser>
          <c:idx val="0"/>
          <c:order val="2"/>
          <c:tx>
            <c:strRef>
              <c:f>'Energy Usage'!$E$2</c:f>
              <c:strCache>
                <c:ptCount val="1"/>
                <c:pt idx="0">
                  <c:v>CalBEM Total  EUI (KBTU/ft²)</c:v>
                </c:pt>
              </c:strCache>
            </c:strRef>
          </c:tx>
          <c:spPr>
            <a:ln w="25400" cap="rnd">
              <a:noFill/>
              <a:round/>
            </a:ln>
            <a:effectLst/>
          </c:spPr>
          <c:marker>
            <c:symbol val="square"/>
            <c:size val="7"/>
            <c:spPr>
              <a:solidFill>
                <a:schemeClr val="accent1"/>
              </a:solidFill>
              <a:ln w="9525">
                <a:solidFill>
                  <a:srgbClr val="001132"/>
                </a:solidFill>
              </a:ln>
              <a:effectLst/>
            </c:spPr>
          </c:marker>
          <c:yVal>
            <c:numRef>
              <c:f>'Energy Usage'!$E$3:$E$18</c:f>
              <c:numCache>
                <c:formatCode>0.0</c:formatCode>
                <c:ptCount val="16"/>
                <c:pt idx="0">
                  <c:v>94.84820000000002</c:v>
                </c:pt>
                <c:pt idx="1">
                  <c:v>93.795299999999997</c:v>
                </c:pt>
                <c:pt idx="2">
                  <c:v>89.421199999999999</c:v>
                </c:pt>
                <c:pt idx="3">
                  <c:v>96.066399999999987</c:v>
                </c:pt>
                <c:pt idx="4">
                  <c:v>89.151200000000017</c:v>
                </c:pt>
                <c:pt idx="5">
                  <c:v>85.27170000000001</c:v>
                </c:pt>
                <c:pt idx="6">
                  <c:v>85.236400000000003</c:v>
                </c:pt>
                <c:pt idx="7">
                  <c:v>88.384900000000002</c:v>
                </c:pt>
                <c:pt idx="8">
                  <c:v>89.088799999999992</c:v>
                </c:pt>
                <c:pt idx="9">
                  <c:v>91.078800000000001</c:v>
                </c:pt>
                <c:pt idx="10">
                  <c:v>99.223000000000013</c:v>
                </c:pt>
                <c:pt idx="11">
                  <c:v>94.102499999999992</c:v>
                </c:pt>
                <c:pt idx="12">
                  <c:v>96.826999999999998</c:v>
                </c:pt>
                <c:pt idx="13">
                  <c:v>97.939600000000013</c:v>
                </c:pt>
                <c:pt idx="14">
                  <c:v>96.376199999999997</c:v>
                </c:pt>
                <c:pt idx="15">
                  <c:v>100.3617</c:v>
                </c:pt>
              </c:numCache>
            </c:numRef>
          </c:yVal>
          <c:smooth val="0"/>
          <c:extLst>
            <c:ext xmlns:c16="http://schemas.microsoft.com/office/drawing/2014/chart" uri="{C3380CC4-5D6E-409C-BE32-E72D297353CC}">
              <c16:uniqueId val="{00000002-7D6E-436F-89D5-8B5566B3625E}"/>
            </c:ext>
          </c:extLst>
        </c:ser>
        <c:ser>
          <c:idx val="3"/>
          <c:order val="3"/>
          <c:tx>
            <c:strRef>
              <c:f>'Energy Usage'!$H$2</c:f>
              <c:strCache>
                <c:ptCount val="1"/>
                <c:pt idx="0">
                  <c:v>New Construction  Total EUI (KBTU/ft²)</c:v>
                </c:pt>
              </c:strCache>
            </c:strRef>
          </c:tx>
          <c:spPr>
            <a:ln w="25400" cap="rnd">
              <a:noFill/>
              <a:round/>
            </a:ln>
            <a:effectLst/>
          </c:spPr>
          <c:marker>
            <c:symbol val="diamond"/>
            <c:size val="7"/>
            <c:spPr>
              <a:solidFill>
                <a:srgbClr val="00B050"/>
              </a:solidFill>
              <a:ln w="9525">
                <a:solidFill>
                  <a:srgbClr val="001132"/>
                </a:solidFill>
              </a:ln>
              <a:effectLst/>
            </c:spPr>
          </c:marker>
          <c:yVal>
            <c:numRef>
              <c:f>'Energy Usage'!$H$3:$H$18</c:f>
              <c:numCache>
                <c:formatCode>General</c:formatCode>
                <c:ptCount val="16"/>
                <c:pt idx="0">
                  <c:v>89.17</c:v>
                </c:pt>
                <c:pt idx="1">
                  <c:v>86.960000000000008</c:v>
                </c:pt>
                <c:pt idx="2">
                  <c:v>82.22</c:v>
                </c:pt>
                <c:pt idx="3">
                  <c:v>88.1</c:v>
                </c:pt>
                <c:pt idx="4">
                  <c:v>82.509999999999991</c:v>
                </c:pt>
                <c:pt idx="5">
                  <c:v>79.509999999999991</c:v>
                </c:pt>
                <c:pt idx="6">
                  <c:v>79.389999999999986</c:v>
                </c:pt>
                <c:pt idx="7">
                  <c:v>82.37</c:v>
                </c:pt>
                <c:pt idx="8">
                  <c:v>82.82</c:v>
                </c:pt>
                <c:pt idx="9">
                  <c:v>84.53</c:v>
                </c:pt>
                <c:pt idx="10">
                  <c:v>91.45</c:v>
                </c:pt>
                <c:pt idx="11">
                  <c:v>87.97</c:v>
                </c:pt>
                <c:pt idx="12">
                  <c:v>89.460000000000008</c:v>
                </c:pt>
                <c:pt idx="13">
                  <c:v>90.449999999999989</c:v>
                </c:pt>
                <c:pt idx="14">
                  <c:v>91.009999999999991</c:v>
                </c:pt>
                <c:pt idx="15">
                  <c:v>91.61</c:v>
                </c:pt>
              </c:numCache>
            </c:numRef>
          </c:yVal>
          <c:smooth val="0"/>
          <c:extLst>
            <c:ext xmlns:c16="http://schemas.microsoft.com/office/drawing/2014/chart" uri="{C3380CC4-5D6E-409C-BE32-E72D297353CC}">
              <c16:uniqueId val="{00000003-7D6E-436F-89D5-8B5566B3625E}"/>
            </c:ext>
          </c:extLst>
        </c:ser>
        <c:dLbls>
          <c:showLegendKey val="0"/>
          <c:showVal val="0"/>
          <c:showCatName val="0"/>
          <c:showSerName val="0"/>
          <c:showPercent val="0"/>
          <c:showBubbleSize val="0"/>
        </c:dLbls>
        <c:axId val="758910767"/>
        <c:axId val="758909327"/>
      </c:scatterChart>
      <c:catAx>
        <c:axId val="758910767"/>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Climate Zone</a:t>
                </a:r>
              </a:p>
            </c:rich>
          </c:tx>
          <c:layout>
            <c:manualLayout>
              <c:xMode val="edge"/>
              <c:yMode val="edge"/>
              <c:x val="0.48255556526229237"/>
              <c:y val="0.8403780585805608"/>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09327"/>
        <c:crosses val="autoZero"/>
        <c:auto val="1"/>
        <c:lblAlgn val="ctr"/>
        <c:lblOffset val="100"/>
        <c:noMultiLvlLbl val="0"/>
      </c:catAx>
      <c:valAx>
        <c:axId val="758909327"/>
        <c:scaling>
          <c:orientation val="minMax"/>
          <c:max val="120"/>
          <c:min val="5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b="1"/>
                  <a:t>Total EUI (kBtu/ft²)</a:t>
                </a:r>
              </a:p>
            </c:rich>
          </c:tx>
          <c:layout>
            <c:manualLayout>
              <c:xMode val="edge"/>
              <c:yMode val="edge"/>
              <c:x val="6.1162073619680356E-3"/>
              <c:y val="0.2802664576629727"/>
            </c:manualLayout>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758910767"/>
        <c:crosses val="autoZero"/>
        <c:crossBetween val="between"/>
        <c:majorUnit val="10"/>
      </c:valAx>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sz="1400" baseline="0"/>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Schedules!$C$41</c:f>
          <c:strCache>
            <c:ptCount val="1"/>
            <c:pt idx="0">
              <c:v>ServiceHotWater</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Schedules!$E$41</c:f>
              <c:strCache>
                <c:ptCount val="1"/>
                <c:pt idx="0">
                  <c:v>Weekday</c:v>
                </c:pt>
              </c:strCache>
            </c:strRef>
          </c:tx>
          <c:spPr>
            <a:ln w="28575" cap="rnd">
              <a:solidFill>
                <a:schemeClr val="accent1"/>
              </a:solidFill>
              <a:round/>
            </a:ln>
            <a:effectLst/>
          </c:spPr>
          <c:marker>
            <c:symbol val="none"/>
          </c:marker>
          <c:val>
            <c:numRef>
              <c:f>Schedules!$F$41:$AC$41</c:f>
              <c:numCache>
                <c:formatCode>0.00</c:formatCode>
                <c:ptCount val="24"/>
                <c:pt idx="0">
                  <c:v>0</c:v>
                </c:pt>
                <c:pt idx="1">
                  <c:v>0</c:v>
                </c:pt>
                <c:pt idx="2">
                  <c:v>0</c:v>
                </c:pt>
                <c:pt idx="3">
                  <c:v>0</c:v>
                </c:pt>
                <c:pt idx="4">
                  <c:v>0</c:v>
                </c:pt>
                <c:pt idx="5">
                  <c:v>0</c:v>
                </c:pt>
                <c:pt idx="6">
                  <c:v>0</c:v>
                </c:pt>
                <c:pt idx="7">
                  <c:v>0</c:v>
                </c:pt>
                <c:pt idx="8">
                  <c:v>0</c:v>
                </c:pt>
                <c:pt idx="9">
                  <c:v>0.05</c:v>
                </c:pt>
                <c:pt idx="10">
                  <c:v>0.05</c:v>
                </c:pt>
                <c:pt idx="11">
                  <c:v>0.35</c:v>
                </c:pt>
                <c:pt idx="12">
                  <c:v>0.05</c:v>
                </c:pt>
                <c:pt idx="13">
                  <c:v>0.05</c:v>
                </c:pt>
                <c:pt idx="14">
                  <c:v>0.05</c:v>
                </c:pt>
                <c:pt idx="15">
                  <c:v>0.05</c:v>
                </c:pt>
                <c:pt idx="16">
                  <c:v>0.05</c:v>
                </c:pt>
                <c:pt idx="17">
                  <c:v>0</c:v>
                </c:pt>
                <c:pt idx="18">
                  <c:v>0</c:v>
                </c:pt>
                <c:pt idx="19">
                  <c:v>0</c:v>
                </c:pt>
                <c:pt idx="20">
                  <c:v>0</c:v>
                </c:pt>
                <c:pt idx="21">
                  <c:v>0</c:v>
                </c:pt>
                <c:pt idx="22">
                  <c:v>0</c:v>
                </c:pt>
                <c:pt idx="23">
                  <c:v>0</c:v>
                </c:pt>
              </c:numCache>
            </c:numRef>
          </c:val>
          <c:smooth val="0"/>
          <c:extLst>
            <c:ext xmlns:c16="http://schemas.microsoft.com/office/drawing/2014/chart" uri="{C3380CC4-5D6E-409C-BE32-E72D297353CC}">
              <c16:uniqueId val="{00000000-37F6-4C28-9709-316E8B1CAD8B}"/>
            </c:ext>
          </c:extLst>
        </c:ser>
        <c:ser>
          <c:idx val="1"/>
          <c:order val="1"/>
          <c:tx>
            <c:strRef>
              <c:f>Schedules!$E$42</c:f>
              <c:strCache>
                <c:ptCount val="1"/>
                <c:pt idx="0">
                  <c:v>Saturday</c:v>
                </c:pt>
              </c:strCache>
            </c:strRef>
          </c:tx>
          <c:spPr>
            <a:ln w="28575" cap="rnd">
              <a:solidFill>
                <a:schemeClr val="accent2"/>
              </a:solidFill>
              <a:round/>
            </a:ln>
            <a:effectLst/>
          </c:spPr>
          <c:marker>
            <c:symbol val="none"/>
          </c:marker>
          <c:val>
            <c:numRef>
              <c:f>Schedules!$F$42:$AC$42</c:f>
              <c:numCache>
                <c:formatCode>0.00</c:formatCode>
                <c:ptCount val="24"/>
                <c:pt idx="0">
                  <c:v>0</c:v>
                </c:pt>
                <c:pt idx="1">
                  <c:v>0</c:v>
                </c:pt>
                <c:pt idx="2">
                  <c:v>0</c:v>
                </c:pt>
                <c:pt idx="3">
                  <c:v>0</c:v>
                </c:pt>
                <c:pt idx="4">
                  <c:v>0</c:v>
                </c:pt>
                <c:pt idx="5">
                  <c:v>0</c:v>
                </c:pt>
                <c:pt idx="6">
                  <c:v>0</c:v>
                </c:pt>
                <c:pt idx="7">
                  <c:v>0</c:v>
                </c:pt>
                <c:pt idx="8">
                  <c:v>0</c:v>
                </c:pt>
                <c:pt idx="9">
                  <c:v>0.05</c:v>
                </c:pt>
                <c:pt idx="10">
                  <c:v>0.05</c:v>
                </c:pt>
                <c:pt idx="11">
                  <c:v>0.2</c:v>
                </c:pt>
                <c:pt idx="12">
                  <c:v>0</c:v>
                </c:pt>
                <c:pt idx="13">
                  <c:v>0</c:v>
                </c:pt>
                <c:pt idx="14">
                  <c:v>0</c:v>
                </c:pt>
                <c:pt idx="15">
                  <c:v>0</c:v>
                </c:pt>
                <c:pt idx="16">
                  <c:v>0</c:v>
                </c:pt>
                <c:pt idx="17">
                  <c:v>0</c:v>
                </c:pt>
                <c:pt idx="18">
                  <c:v>0</c:v>
                </c:pt>
                <c:pt idx="19">
                  <c:v>0.65</c:v>
                </c:pt>
                <c:pt idx="20">
                  <c:v>0.3</c:v>
                </c:pt>
                <c:pt idx="21">
                  <c:v>0</c:v>
                </c:pt>
                <c:pt idx="22">
                  <c:v>0</c:v>
                </c:pt>
                <c:pt idx="23">
                  <c:v>0</c:v>
                </c:pt>
              </c:numCache>
            </c:numRef>
          </c:val>
          <c:smooth val="0"/>
          <c:extLst>
            <c:ext xmlns:c16="http://schemas.microsoft.com/office/drawing/2014/chart" uri="{C3380CC4-5D6E-409C-BE32-E72D297353CC}">
              <c16:uniqueId val="{00000001-37F6-4C28-9709-316E8B1CAD8B}"/>
            </c:ext>
          </c:extLst>
        </c:ser>
        <c:ser>
          <c:idx val="2"/>
          <c:order val="2"/>
          <c:tx>
            <c:strRef>
              <c:f>Schedules!$E$43</c:f>
              <c:strCache>
                <c:ptCount val="1"/>
                <c:pt idx="0">
                  <c:v>Sunday</c:v>
                </c:pt>
              </c:strCache>
            </c:strRef>
          </c:tx>
          <c:spPr>
            <a:ln w="28575" cap="rnd">
              <a:solidFill>
                <a:schemeClr val="accent3"/>
              </a:solidFill>
              <a:round/>
            </a:ln>
            <a:effectLst/>
          </c:spPr>
          <c:marker>
            <c:symbol val="none"/>
          </c:marker>
          <c:val>
            <c:numRef>
              <c:f>Schedules!$F$43:$AC$43</c:f>
              <c:numCache>
                <c:formatCode>0.00</c:formatCode>
                <c:ptCount val="24"/>
                <c:pt idx="0">
                  <c:v>0</c:v>
                </c:pt>
                <c:pt idx="1">
                  <c:v>0</c:v>
                </c:pt>
                <c:pt idx="2">
                  <c:v>0</c:v>
                </c:pt>
                <c:pt idx="3">
                  <c:v>0</c:v>
                </c:pt>
                <c:pt idx="4">
                  <c:v>0</c:v>
                </c:pt>
                <c:pt idx="5">
                  <c:v>0</c:v>
                </c:pt>
                <c:pt idx="6">
                  <c:v>0</c:v>
                </c:pt>
                <c:pt idx="7">
                  <c:v>0</c:v>
                </c:pt>
                <c:pt idx="8">
                  <c:v>0</c:v>
                </c:pt>
                <c:pt idx="9">
                  <c:v>0.05</c:v>
                </c:pt>
                <c:pt idx="10">
                  <c:v>0.05</c:v>
                </c:pt>
                <c:pt idx="11">
                  <c:v>0.1</c:v>
                </c:pt>
                <c:pt idx="12">
                  <c:v>0</c:v>
                </c:pt>
                <c:pt idx="13">
                  <c:v>0</c:v>
                </c:pt>
                <c:pt idx="14">
                  <c:v>0</c:v>
                </c:pt>
                <c:pt idx="15">
                  <c:v>0</c:v>
                </c:pt>
                <c:pt idx="16">
                  <c:v>0</c:v>
                </c:pt>
                <c:pt idx="17">
                  <c:v>0</c:v>
                </c:pt>
                <c:pt idx="18">
                  <c:v>0</c:v>
                </c:pt>
                <c:pt idx="19">
                  <c:v>0.65</c:v>
                </c:pt>
                <c:pt idx="20">
                  <c:v>0.3</c:v>
                </c:pt>
                <c:pt idx="21">
                  <c:v>0</c:v>
                </c:pt>
                <c:pt idx="22">
                  <c:v>0</c:v>
                </c:pt>
                <c:pt idx="23">
                  <c:v>0</c:v>
                </c:pt>
              </c:numCache>
            </c:numRef>
          </c:val>
          <c:smooth val="0"/>
          <c:extLst>
            <c:ext xmlns:c16="http://schemas.microsoft.com/office/drawing/2014/chart" uri="{C3380CC4-5D6E-409C-BE32-E72D297353CC}">
              <c16:uniqueId val="{00000002-37F6-4C28-9709-316E8B1CAD8B}"/>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Schedules!$C$60</c:f>
          <c:strCache>
            <c:ptCount val="1"/>
            <c:pt idx="0">
              <c:v>Lights</c:v>
            </c:pt>
          </c:strCache>
        </c:strRef>
      </c:tx>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Schedules!$E$60</c:f>
              <c:strCache>
                <c:ptCount val="1"/>
                <c:pt idx="0">
                  <c:v>Weekday</c:v>
                </c:pt>
              </c:strCache>
            </c:strRef>
          </c:tx>
          <c:spPr>
            <a:ln w="28575" cap="rnd">
              <a:solidFill>
                <a:schemeClr val="accent1"/>
              </a:solidFill>
              <a:round/>
            </a:ln>
            <a:effectLst/>
          </c:spPr>
          <c:marker>
            <c:symbol val="none"/>
          </c:marker>
          <c:val>
            <c:numRef>
              <c:f>Schedules!$F$60:$AC$60</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4B6C-49C6-8478-081DA7B82710}"/>
            </c:ext>
          </c:extLst>
        </c:ser>
        <c:ser>
          <c:idx val="1"/>
          <c:order val="1"/>
          <c:tx>
            <c:strRef>
              <c:f>Schedules!$E$61</c:f>
              <c:strCache>
                <c:ptCount val="1"/>
                <c:pt idx="0">
                  <c:v>Saturday</c:v>
                </c:pt>
              </c:strCache>
            </c:strRef>
          </c:tx>
          <c:spPr>
            <a:ln w="28575" cap="rnd">
              <a:solidFill>
                <a:schemeClr val="accent2"/>
              </a:solidFill>
              <a:round/>
            </a:ln>
            <a:effectLst/>
          </c:spPr>
          <c:marker>
            <c:symbol val="none"/>
          </c:marker>
          <c:val>
            <c:numRef>
              <c:f>Schedules!$F$61:$AC$61</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4B6C-49C6-8478-081DA7B82710}"/>
            </c:ext>
          </c:extLst>
        </c:ser>
        <c:ser>
          <c:idx val="2"/>
          <c:order val="2"/>
          <c:tx>
            <c:strRef>
              <c:f>Schedules!$E$62</c:f>
              <c:strCache>
                <c:ptCount val="1"/>
                <c:pt idx="0">
                  <c:v>Sunday</c:v>
                </c:pt>
              </c:strCache>
            </c:strRef>
          </c:tx>
          <c:spPr>
            <a:ln w="28575" cap="rnd">
              <a:solidFill>
                <a:schemeClr val="accent3"/>
              </a:solidFill>
              <a:round/>
            </a:ln>
            <a:effectLst/>
          </c:spPr>
          <c:marker>
            <c:symbol val="none"/>
          </c:marker>
          <c:val>
            <c:numRef>
              <c:f>Schedules!$F$62:$AC$62</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4B6C-49C6-8478-081DA7B82710}"/>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sz="1000" b="1" i="0" u="none" strike="noStrike" kern="1200" spc="0" baseline="0">
                <a:solidFill>
                  <a:sysClr val="windowText" lastClr="000000"/>
                </a:solidFill>
                <a:latin typeface="Arial" panose="020B0604020202020204" pitchFamily="34" charset="0"/>
                <a:cs typeface="Arial" panose="020B0604020202020204" pitchFamily="34" charset="0"/>
              </a:rPr>
              <a:t>Corridor Service Hot Water</a:t>
            </a:r>
          </a:p>
        </c:rich>
      </c:tx>
      <c:layout>
        <c:manualLayout>
          <c:xMode val="edge"/>
          <c:yMode val="edge"/>
          <c:x val="0.15883143049026194"/>
          <c:y val="7.0960084353900055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Schedules!$E$94</c:f>
              <c:strCache>
                <c:ptCount val="1"/>
                <c:pt idx="0">
                  <c:v>Weekday</c:v>
                </c:pt>
              </c:strCache>
            </c:strRef>
          </c:tx>
          <c:spPr>
            <a:ln w="28575" cap="rnd">
              <a:solidFill>
                <a:schemeClr val="accent1"/>
              </a:solidFill>
              <a:round/>
            </a:ln>
            <a:effectLst/>
          </c:spPr>
          <c:marker>
            <c:symbol val="none"/>
          </c:marker>
          <c:val>
            <c:numRef>
              <c:f>Schedules!$F$94:$AC$94</c:f>
              <c:numCache>
                <c:formatCode>0.00</c:formatCode>
                <c:ptCount val="24"/>
                <c:pt idx="0">
                  <c:v>0.13100000000000001</c:v>
                </c:pt>
                <c:pt idx="1">
                  <c:v>7.4999999999999997E-2</c:v>
                </c:pt>
                <c:pt idx="2">
                  <c:v>8.4000000000000005E-2</c:v>
                </c:pt>
                <c:pt idx="3">
                  <c:v>0.10299999999999999</c:v>
                </c:pt>
                <c:pt idx="4">
                  <c:v>0.187</c:v>
                </c:pt>
                <c:pt idx="5">
                  <c:v>0.41099999999999998</c:v>
                </c:pt>
                <c:pt idx="6">
                  <c:v>0.83199999999999996</c:v>
                </c:pt>
                <c:pt idx="7">
                  <c:v>1</c:v>
                </c:pt>
                <c:pt idx="8">
                  <c:v>0.83199999999999996</c:v>
                </c:pt>
                <c:pt idx="9">
                  <c:v>0.61699999999999999</c:v>
                </c:pt>
                <c:pt idx="10">
                  <c:v>0.48599999999999999</c:v>
                </c:pt>
                <c:pt idx="11">
                  <c:v>0.35499999999999998</c:v>
                </c:pt>
                <c:pt idx="12">
                  <c:v>0.33600000000000002</c:v>
                </c:pt>
                <c:pt idx="13">
                  <c:v>0.308</c:v>
                </c:pt>
                <c:pt idx="14">
                  <c:v>0.29899999999999999</c:v>
                </c:pt>
                <c:pt idx="15">
                  <c:v>0.24299999999999999</c:v>
                </c:pt>
                <c:pt idx="16">
                  <c:v>0.39300000000000002</c:v>
                </c:pt>
                <c:pt idx="17">
                  <c:v>0.44900000000000001</c:v>
                </c:pt>
                <c:pt idx="18">
                  <c:v>0.48599999999999999</c:v>
                </c:pt>
                <c:pt idx="19">
                  <c:v>0.439</c:v>
                </c:pt>
                <c:pt idx="20">
                  <c:v>0.39300000000000002</c:v>
                </c:pt>
                <c:pt idx="21">
                  <c:v>0.36399999999999999</c:v>
                </c:pt>
                <c:pt idx="22">
                  <c:v>0.33600000000000002</c:v>
                </c:pt>
                <c:pt idx="23">
                  <c:v>0.20599999999999999</c:v>
                </c:pt>
              </c:numCache>
            </c:numRef>
          </c:val>
          <c:smooth val="0"/>
          <c:extLst>
            <c:ext xmlns:c16="http://schemas.microsoft.com/office/drawing/2014/chart" uri="{C3380CC4-5D6E-409C-BE32-E72D297353CC}">
              <c16:uniqueId val="{00000000-9363-4F47-9DA3-0C0F58D51016}"/>
            </c:ext>
          </c:extLst>
        </c:ser>
        <c:ser>
          <c:idx val="1"/>
          <c:order val="1"/>
          <c:tx>
            <c:strRef>
              <c:f>Schedules!$E$95</c:f>
              <c:strCache>
                <c:ptCount val="1"/>
                <c:pt idx="0">
                  <c:v>Saturday</c:v>
                </c:pt>
              </c:strCache>
            </c:strRef>
          </c:tx>
          <c:spPr>
            <a:ln w="28575" cap="rnd">
              <a:solidFill>
                <a:schemeClr val="accent2"/>
              </a:solidFill>
              <a:round/>
            </a:ln>
            <a:effectLst/>
          </c:spPr>
          <c:marker>
            <c:symbol val="none"/>
          </c:marker>
          <c:val>
            <c:numRef>
              <c:f>Schedules!$F$95:$AC$95</c:f>
              <c:numCache>
                <c:formatCode>0.00</c:formatCode>
                <c:ptCount val="24"/>
                <c:pt idx="0">
                  <c:v>0.217</c:v>
                </c:pt>
                <c:pt idx="1">
                  <c:v>0.12</c:v>
                </c:pt>
                <c:pt idx="2">
                  <c:v>0.108</c:v>
                </c:pt>
                <c:pt idx="3">
                  <c:v>9.6000000000000002E-2</c:v>
                </c:pt>
                <c:pt idx="4">
                  <c:v>0.18099999999999999</c:v>
                </c:pt>
                <c:pt idx="5">
                  <c:v>0.27700000000000002</c:v>
                </c:pt>
                <c:pt idx="6">
                  <c:v>0.313</c:v>
                </c:pt>
                <c:pt idx="7">
                  <c:v>0.56599999999999995</c:v>
                </c:pt>
                <c:pt idx="8">
                  <c:v>0.92800000000000005</c:v>
                </c:pt>
                <c:pt idx="9">
                  <c:v>1</c:v>
                </c:pt>
                <c:pt idx="10">
                  <c:v>0.89200000000000002</c:v>
                </c:pt>
                <c:pt idx="11">
                  <c:v>0.73499999999999999</c:v>
                </c:pt>
                <c:pt idx="12">
                  <c:v>0.61399999999999999</c:v>
                </c:pt>
                <c:pt idx="13">
                  <c:v>0.51800000000000002</c:v>
                </c:pt>
                <c:pt idx="14">
                  <c:v>0.47</c:v>
                </c:pt>
                <c:pt idx="15">
                  <c:v>0.47</c:v>
                </c:pt>
                <c:pt idx="16">
                  <c:v>0.627</c:v>
                </c:pt>
                <c:pt idx="17">
                  <c:v>0.69899999999999995</c:v>
                </c:pt>
                <c:pt idx="18">
                  <c:v>0.67500000000000004</c:v>
                </c:pt>
                <c:pt idx="19">
                  <c:v>0.627</c:v>
                </c:pt>
                <c:pt idx="20">
                  <c:v>0.56599999999999995</c:v>
                </c:pt>
                <c:pt idx="21">
                  <c:v>0.53</c:v>
                </c:pt>
                <c:pt idx="22">
                  <c:v>0.48199999999999998</c:v>
                </c:pt>
                <c:pt idx="23">
                  <c:v>0.33700000000000002</c:v>
                </c:pt>
              </c:numCache>
            </c:numRef>
          </c:val>
          <c:smooth val="0"/>
          <c:extLst>
            <c:ext xmlns:c16="http://schemas.microsoft.com/office/drawing/2014/chart" uri="{C3380CC4-5D6E-409C-BE32-E72D297353CC}">
              <c16:uniqueId val="{00000001-9363-4F47-9DA3-0C0F58D51016}"/>
            </c:ext>
          </c:extLst>
        </c:ser>
        <c:ser>
          <c:idx val="2"/>
          <c:order val="2"/>
          <c:tx>
            <c:strRef>
              <c:f>Schedules!$E$96</c:f>
              <c:strCache>
                <c:ptCount val="1"/>
                <c:pt idx="0">
                  <c:v>Sunday</c:v>
                </c:pt>
              </c:strCache>
            </c:strRef>
          </c:tx>
          <c:spPr>
            <a:ln w="28575" cap="rnd">
              <a:solidFill>
                <a:schemeClr val="accent3"/>
              </a:solidFill>
              <a:round/>
            </a:ln>
            <a:effectLst/>
          </c:spPr>
          <c:marker>
            <c:symbol val="none"/>
          </c:marker>
          <c:val>
            <c:numRef>
              <c:f>Schedules!$F$96:$AC$96</c:f>
              <c:numCache>
                <c:formatCode>0.00</c:formatCode>
                <c:ptCount val="24"/>
                <c:pt idx="0">
                  <c:v>0.217</c:v>
                </c:pt>
                <c:pt idx="1">
                  <c:v>0.12</c:v>
                </c:pt>
                <c:pt idx="2">
                  <c:v>0.108</c:v>
                </c:pt>
                <c:pt idx="3">
                  <c:v>9.6000000000000002E-2</c:v>
                </c:pt>
                <c:pt idx="4">
                  <c:v>0.18099999999999999</c:v>
                </c:pt>
                <c:pt idx="5">
                  <c:v>0.27700000000000002</c:v>
                </c:pt>
                <c:pt idx="6">
                  <c:v>0.313</c:v>
                </c:pt>
                <c:pt idx="7">
                  <c:v>0.56599999999999995</c:v>
                </c:pt>
                <c:pt idx="8">
                  <c:v>0.92800000000000005</c:v>
                </c:pt>
                <c:pt idx="9">
                  <c:v>1</c:v>
                </c:pt>
                <c:pt idx="10">
                  <c:v>0.89200000000000002</c:v>
                </c:pt>
                <c:pt idx="11">
                  <c:v>0.73499999999999999</c:v>
                </c:pt>
                <c:pt idx="12">
                  <c:v>0.61399999999999999</c:v>
                </c:pt>
                <c:pt idx="13">
                  <c:v>0.51800000000000002</c:v>
                </c:pt>
                <c:pt idx="14">
                  <c:v>0.47</c:v>
                </c:pt>
                <c:pt idx="15">
                  <c:v>0.47</c:v>
                </c:pt>
                <c:pt idx="16">
                  <c:v>0.627</c:v>
                </c:pt>
                <c:pt idx="17">
                  <c:v>0.69899999999999995</c:v>
                </c:pt>
                <c:pt idx="18">
                  <c:v>0.67500000000000004</c:v>
                </c:pt>
                <c:pt idx="19">
                  <c:v>0.627</c:v>
                </c:pt>
                <c:pt idx="20">
                  <c:v>0.56599999999999995</c:v>
                </c:pt>
                <c:pt idx="21">
                  <c:v>0.53</c:v>
                </c:pt>
                <c:pt idx="22">
                  <c:v>0.48199999999999998</c:v>
                </c:pt>
                <c:pt idx="23">
                  <c:v>0.33700000000000002</c:v>
                </c:pt>
              </c:numCache>
            </c:numRef>
          </c:val>
          <c:smooth val="0"/>
          <c:extLst>
            <c:ext xmlns:c16="http://schemas.microsoft.com/office/drawing/2014/chart" uri="{C3380CC4-5D6E-409C-BE32-E72D297353CC}">
              <c16:uniqueId val="{00000002-9363-4F47-9DA3-0C0F58D51016}"/>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Schedules!$C$69</c:f>
          <c:strCache>
            <c:ptCount val="1"/>
            <c:pt idx="0">
              <c:v>HVACAvail</c:v>
            </c:pt>
          </c:strCache>
        </c:strRef>
      </c:tx>
      <c:layout>
        <c:manualLayout>
          <c:xMode val="edge"/>
          <c:yMode val="edge"/>
          <c:x val="0.17677275498800721"/>
          <c:y val="6.1316469426658825E-2"/>
        </c:manualLayout>
      </c:layout>
      <c:overlay val="0"/>
      <c:spPr>
        <a:noFill/>
        <a:ln>
          <a:noFill/>
        </a:ln>
        <a:effectLst/>
      </c:spPr>
      <c:txPr>
        <a:bodyPr rot="0" spcFirstLastPara="1" vertOverflow="ellipsis" vert="horz" wrap="square" anchor="ctr" anchorCtr="1"/>
        <a:lstStyle/>
        <a:p>
          <a:pPr>
            <a:defRPr sz="10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title>
    <c:autoTitleDeleted val="0"/>
    <c:plotArea>
      <c:layout>
        <c:manualLayout>
          <c:layoutTarget val="inner"/>
          <c:xMode val="edge"/>
          <c:yMode val="edge"/>
          <c:x val="0.10301696646995022"/>
          <c:y val="0.21667624165005125"/>
          <c:w val="0.86296940073898609"/>
          <c:h val="0.51057641399975218"/>
        </c:manualLayout>
      </c:layout>
      <c:lineChart>
        <c:grouping val="standard"/>
        <c:varyColors val="0"/>
        <c:ser>
          <c:idx val="0"/>
          <c:order val="0"/>
          <c:tx>
            <c:strRef>
              <c:f>Schedules!$E$69</c:f>
              <c:strCache>
                <c:ptCount val="1"/>
                <c:pt idx="0">
                  <c:v>Weekday</c:v>
                </c:pt>
              </c:strCache>
            </c:strRef>
          </c:tx>
          <c:spPr>
            <a:ln w="28575" cap="rnd">
              <a:solidFill>
                <a:schemeClr val="accent1"/>
              </a:solidFill>
              <a:round/>
            </a:ln>
            <a:effectLst/>
          </c:spPr>
          <c:marker>
            <c:symbol val="none"/>
          </c:marker>
          <c:val>
            <c:numRef>
              <c:f>Schedules!$F$69:$AC$69</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0-C9B4-4ED7-A640-47AFF0FF986D}"/>
            </c:ext>
          </c:extLst>
        </c:ser>
        <c:ser>
          <c:idx val="1"/>
          <c:order val="1"/>
          <c:tx>
            <c:strRef>
              <c:f>Schedules!$E$70</c:f>
              <c:strCache>
                <c:ptCount val="1"/>
                <c:pt idx="0">
                  <c:v>Saturday</c:v>
                </c:pt>
              </c:strCache>
            </c:strRef>
          </c:tx>
          <c:spPr>
            <a:ln w="28575" cap="rnd">
              <a:solidFill>
                <a:schemeClr val="accent2"/>
              </a:solidFill>
              <a:round/>
            </a:ln>
            <a:effectLst/>
          </c:spPr>
          <c:marker>
            <c:symbol val="none"/>
          </c:marker>
          <c:val>
            <c:numRef>
              <c:f>Schedules!$F$70:$AC$70</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1-C9B4-4ED7-A640-47AFF0FF986D}"/>
            </c:ext>
          </c:extLst>
        </c:ser>
        <c:ser>
          <c:idx val="2"/>
          <c:order val="2"/>
          <c:tx>
            <c:strRef>
              <c:f>Schedules!$E$71</c:f>
              <c:strCache>
                <c:ptCount val="1"/>
                <c:pt idx="0">
                  <c:v>Sunday</c:v>
                </c:pt>
              </c:strCache>
            </c:strRef>
          </c:tx>
          <c:spPr>
            <a:ln w="28575" cap="rnd">
              <a:solidFill>
                <a:schemeClr val="accent3"/>
              </a:solidFill>
              <a:round/>
            </a:ln>
            <a:effectLst/>
          </c:spPr>
          <c:marker>
            <c:symbol val="none"/>
          </c:marker>
          <c:val>
            <c:numRef>
              <c:f>Schedules!$F$71:$AC$71</c:f>
              <c:numCache>
                <c:formatCode>0.00</c:formatCode>
                <c:ptCount val="2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numCache>
            </c:numRef>
          </c:val>
          <c:smooth val="0"/>
          <c:extLst>
            <c:ext xmlns:c16="http://schemas.microsoft.com/office/drawing/2014/chart" uri="{C3380CC4-5D6E-409C-BE32-E72D297353CC}">
              <c16:uniqueId val="{00000002-C9B4-4ED7-A640-47AFF0FF986D}"/>
            </c:ext>
          </c:extLst>
        </c:ser>
        <c:dLbls>
          <c:showLegendKey val="0"/>
          <c:showVal val="0"/>
          <c:showCatName val="0"/>
          <c:showSerName val="0"/>
          <c:showPercent val="0"/>
          <c:showBubbleSize val="0"/>
        </c:dLbls>
        <c:smooth val="0"/>
        <c:axId val="1801622976"/>
        <c:axId val="1801623456"/>
      </c:lineChart>
      <c:catAx>
        <c:axId val="180162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3456"/>
        <c:crosses val="autoZero"/>
        <c:auto val="1"/>
        <c:lblAlgn val="ctr"/>
        <c:lblOffset val="100"/>
        <c:noMultiLvlLbl val="0"/>
      </c:catAx>
      <c:valAx>
        <c:axId val="1801623456"/>
        <c:scaling>
          <c:orientation val="minMax"/>
          <c:max val="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622976"/>
        <c:crosses val="autoZero"/>
        <c:crossBetween val="between"/>
        <c:majorUnit val="0.2"/>
        <c:minorUnit val="0.1"/>
      </c:valAx>
      <c:spPr>
        <a:noFill/>
        <a:ln>
          <a:noFill/>
        </a:ln>
        <a:effectLst/>
      </c:spPr>
    </c:plotArea>
    <c:legend>
      <c:legendPos val="b"/>
      <c:layout>
        <c:manualLayout>
          <c:xMode val="edge"/>
          <c:yMode val="edge"/>
          <c:x val="0.69237621385546944"/>
          <c:y val="3.6261079321075841E-2"/>
          <c:w val="0.28941482691935089"/>
          <c:h val="0.3139894781608833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51.png"/></Relationships>
</file>

<file path=xl/drawings/_rels/drawing11.xml.rels><?xml version="1.0" encoding="UTF-8" standalone="yes"?>
<Relationships xmlns="http://schemas.openxmlformats.org/package/2006/relationships"><Relationship Id="rId13" Type="http://schemas.openxmlformats.org/officeDocument/2006/relationships/chart" Target="../charts/chart13.xml"/><Relationship Id="rId18" Type="http://schemas.openxmlformats.org/officeDocument/2006/relationships/chart" Target="../charts/chart18.xml"/><Relationship Id="rId26" Type="http://schemas.openxmlformats.org/officeDocument/2006/relationships/chart" Target="../charts/chart26.xml"/><Relationship Id="rId39" Type="http://schemas.openxmlformats.org/officeDocument/2006/relationships/chart" Target="../charts/chart39.xml"/><Relationship Id="rId21" Type="http://schemas.openxmlformats.org/officeDocument/2006/relationships/chart" Target="../charts/chart21.xml"/><Relationship Id="rId34" Type="http://schemas.openxmlformats.org/officeDocument/2006/relationships/chart" Target="../charts/chart34.xml"/><Relationship Id="rId42" Type="http://schemas.openxmlformats.org/officeDocument/2006/relationships/chart" Target="../charts/chart42.xml"/><Relationship Id="rId47" Type="http://schemas.openxmlformats.org/officeDocument/2006/relationships/chart" Target="../charts/chart47.xml"/><Relationship Id="rId50" Type="http://schemas.openxmlformats.org/officeDocument/2006/relationships/chart" Target="../charts/chart50.xml"/><Relationship Id="rId55" Type="http://schemas.openxmlformats.org/officeDocument/2006/relationships/chart" Target="../charts/chart55.xml"/><Relationship Id="rId7" Type="http://schemas.openxmlformats.org/officeDocument/2006/relationships/chart" Target="../charts/chart7.xml"/><Relationship Id="rId2" Type="http://schemas.openxmlformats.org/officeDocument/2006/relationships/chart" Target="../charts/chart2.xml"/><Relationship Id="rId16" Type="http://schemas.openxmlformats.org/officeDocument/2006/relationships/chart" Target="../charts/chart16.xml"/><Relationship Id="rId29" Type="http://schemas.openxmlformats.org/officeDocument/2006/relationships/chart" Target="../charts/chart29.xml"/><Relationship Id="rId11" Type="http://schemas.openxmlformats.org/officeDocument/2006/relationships/chart" Target="../charts/chart11.xml"/><Relationship Id="rId24" Type="http://schemas.openxmlformats.org/officeDocument/2006/relationships/chart" Target="../charts/chart24.xml"/><Relationship Id="rId32" Type="http://schemas.openxmlformats.org/officeDocument/2006/relationships/chart" Target="../charts/chart32.xml"/><Relationship Id="rId37" Type="http://schemas.openxmlformats.org/officeDocument/2006/relationships/chart" Target="../charts/chart37.xml"/><Relationship Id="rId40" Type="http://schemas.openxmlformats.org/officeDocument/2006/relationships/chart" Target="../charts/chart40.xml"/><Relationship Id="rId45" Type="http://schemas.openxmlformats.org/officeDocument/2006/relationships/chart" Target="../charts/chart45.xml"/><Relationship Id="rId53" Type="http://schemas.openxmlformats.org/officeDocument/2006/relationships/chart" Target="../charts/chart53.xml"/><Relationship Id="rId5" Type="http://schemas.openxmlformats.org/officeDocument/2006/relationships/chart" Target="../charts/chart5.xml"/><Relationship Id="rId10" Type="http://schemas.openxmlformats.org/officeDocument/2006/relationships/chart" Target="../charts/chart10.xml"/><Relationship Id="rId19" Type="http://schemas.openxmlformats.org/officeDocument/2006/relationships/chart" Target="../charts/chart19.xml"/><Relationship Id="rId31" Type="http://schemas.openxmlformats.org/officeDocument/2006/relationships/chart" Target="../charts/chart31.xml"/><Relationship Id="rId44" Type="http://schemas.openxmlformats.org/officeDocument/2006/relationships/chart" Target="../charts/chart44.xml"/><Relationship Id="rId52" Type="http://schemas.openxmlformats.org/officeDocument/2006/relationships/chart" Target="../charts/chart52.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 Id="rId22" Type="http://schemas.openxmlformats.org/officeDocument/2006/relationships/chart" Target="../charts/chart22.xml"/><Relationship Id="rId27" Type="http://schemas.openxmlformats.org/officeDocument/2006/relationships/chart" Target="../charts/chart27.xml"/><Relationship Id="rId30" Type="http://schemas.openxmlformats.org/officeDocument/2006/relationships/chart" Target="../charts/chart30.xml"/><Relationship Id="rId35" Type="http://schemas.openxmlformats.org/officeDocument/2006/relationships/chart" Target="../charts/chart35.xml"/><Relationship Id="rId43" Type="http://schemas.openxmlformats.org/officeDocument/2006/relationships/chart" Target="../charts/chart43.xml"/><Relationship Id="rId48" Type="http://schemas.openxmlformats.org/officeDocument/2006/relationships/chart" Target="../charts/chart48.xml"/><Relationship Id="rId56" Type="http://schemas.openxmlformats.org/officeDocument/2006/relationships/chart" Target="../charts/chart56.xml"/><Relationship Id="rId8" Type="http://schemas.openxmlformats.org/officeDocument/2006/relationships/chart" Target="../charts/chart8.xml"/><Relationship Id="rId51" Type="http://schemas.openxmlformats.org/officeDocument/2006/relationships/chart" Target="../charts/chart51.xml"/><Relationship Id="rId3" Type="http://schemas.openxmlformats.org/officeDocument/2006/relationships/chart" Target="../charts/chart3.xml"/><Relationship Id="rId12" Type="http://schemas.openxmlformats.org/officeDocument/2006/relationships/chart" Target="../charts/chart12.xml"/><Relationship Id="rId17" Type="http://schemas.openxmlformats.org/officeDocument/2006/relationships/chart" Target="../charts/chart17.xml"/><Relationship Id="rId25" Type="http://schemas.openxmlformats.org/officeDocument/2006/relationships/chart" Target="../charts/chart25.xml"/><Relationship Id="rId33" Type="http://schemas.openxmlformats.org/officeDocument/2006/relationships/chart" Target="../charts/chart33.xml"/><Relationship Id="rId38" Type="http://schemas.openxmlformats.org/officeDocument/2006/relationships/chart" Target="../charts/chart38.xml"/><Relationship Id="rId46" Type="http://schemas.openxmlformats.org/officeDocument/2006/relationships/chart" Target="../charts/chart46.xml"/><Relationship Id="rId20" Type="http://schemas.openxmlformats.org/officeDocument/2006/relationships/chart" Target="../charts/chart20.xml"/><Relationship Id="rId41" Type="http://schemas.openxmlformats.org/officeDocument/2006/relationships/chart" Target="../charts/chart41.xml"/><Relationship Id="rId54" Type="http://schemas.openxmlformats.org/officeDocument/2006/relationships/chart" Target="../charts/chart54.xml"/><Relationship Id="rId1" Type="http://schemas.openxmlformats.org/officeDocument/2006/relationships/chart" Target="../charts/chart1.xml"/><Relationship Id="rId6" Type="http://schemas.openxmlformats.org/officeDocument/2006/relationships/chart" Target="../charts/chart6.xml"/><Relationship Id="rId15" Type="http://schemas.openxmlformats.org/officeDocument/2006/relationships/chart" Target="../charts/chart15.xml"/><Relationship Id="rId23" Type="http://schemas.openxmlformats.org/officeDocument/2006/relationships/chart" Target="../charts/chart23.xml"/><Relationship Id="rId28" Type="http://schemas.openxmlformats.org/officeDocument/2006/relationships/chart" Target="../charts/chart28.xml"/><Relationship Id="rId36" Type="http://schemas.openxmlformats.org/officeDocument/2006/relationships/chart" Target="../charts/chart36.xml"/><Relationship Id="rId49" Type="http://schemas.openxmlformats.org/officeDocument/2006/relationships/chart" Target="../charts/chart49.xml"/></Relationships>
</file>

<file path=xl/drawings/_rels/drawing12.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chart" Target="../charts/chart58.xml"/><Relationship Id="rId1" Type="http://schemas.openxmlformats.org/officeDocument/2006/relationships/chart" Target="../charts/chart57.xml"/></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image" Target="../media/image9.jpeg"/></Relationships>
</file>

<file path=xl/drawings/_rels/drawing4.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13" Type="http://schemas.openxmlformats.org/officeDocument/2006/relationships/image" Target="../media/image24.png"/><Relationship Id="rId18" Type="http://schemas.openxmlformats.org/officeDocument/2006/relationships/image" Target="../media/image29.png"/><Relationship Id="rId3" Type="http://schemas.openxmlformats.org/officeDocument/2006/relationships/image" Target="../media/image14.png"/><Relationship Id="rId21" Type="http://schemas.openxmlformats.org/officeDocument/2006/relationships/image" Target="../media/image32.png"/><Relationship Id="rId7" Type="http://schemas.openxmlformats.org/officeDocument/2006/relationships/image" Target="../media/image18.png"/><Relationship Id="rId12" Type="http://schemas.openxmlformats.org/officeDocument/2006/relationships/image" Target="../media/image23.png"/><Relationship Id="rId17" Type="http://schemas.openxmlformats.org/officeDocument/2006/relationships/image" Target="../media/image28.png"/><Relationship Id="rId2" Type="http://schemas.openxmlformats.org/officeDocument/2006/relationships/image" Target="../media/image13.png"/><Relationship Id="rId16" Type="http://schemas.openxmlformats.org/officeDocument/2006/relationships/image" Target="../media/image27.png"/><Relationship Id="rId20" Type="http://schemas.openxmlformats.org/officeDocument/2006/relationships/image" Target="../media/image31.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5" Type="http://schemas.openxmlformats.org/officeDocument/2006/relationships/image" Target="../media/image26.png"/><Relationship Id="rId10" Type="http://schemas.openxmlformats.org/officeDocument/2006/relationships/image" Target="../media/image21.png"/><Relationship Id="rId19" Type="http://schemas.openxmlformats.org/officeDocument/2006/relationships/image" Target="../media/image30.png"/><Relationship Id="rId4" Type="http://schemas.openxmlformats.org/officeDocument/2006/relationships/image" Target="../media/image15.png"/><Relationship Id="rId9" Type="http://schemas.openxmlformats.org/officeDocument/2006/relationships/image" Target="../media/image20.png"/><Relationship Id="rId1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5" Type="http://schemas.openxmlformats.org/officeDocument/2006/relationships/image" Target="../media/image37.png"/><Relationship Id="rId4" Type="http://schemas.openxmlformats.org/officeDocument/2006/relationships/image" Target="../media/image36.png"/></Relationships>
</file>

<file path=xl/drawings/_rels/drawing7.xml.rels><?xml version="1.0" encoding="UTF-8" standalone="yes"?>
<Relationships xmlns="http://schemas.openxmlformats.org/package/2006/relationships"><Relationship Id="rId2" Type="http://schemas.openxmlformats.org/officeDocument/2006/relationships/image" Target="../media/image39.png"/><Relationship Id="rId1" Type="http://schemas.openxmlformats.org/officeDocument/2006/relationships/image" Target="../media/image38.png"/></Relationships>
</file>

<file path=xl/drawings/_rels/drawing8.xml.rels><?xml version="1.0" encoding="UTF-8" standalone="yes"?>
<Relationships xmlns="http://schemas.openxmlformats.org/package/2006/relationships"><Relationship Id="rId3" Type="http://schemas.openxmlformats.org/officeDocument/2006/relationships/image" Target="../media/image42.png"/><Relationship Id="rId7" Type="http://schemas.openxmlformats.org/officeDocument/2006/relationships/image" Target="../media/image46.png"/><Relationship Id="rId2" Type="http://schemas.openxmlformats.org/officeDocument/2006/relationships/image" Target="../media/image41.png"/><Relationship Id="rId1" Type="http://schemas.openxmlformats.org/officeDocument/2006/relationships/image" Target="../media/image40.png"/><Relationship Id="rId6" Type="http://schemas.openxmlformats.org/officeDocument/2006/relationships/image" Target="../media/image45.png"/><Relationship Id="rId5" Type="http://schemas.openxmlformats.org/officeDocument/2006/relationships/image" Target="../media/image44.png"/><Relationship Id="rId4" Type="http://schemas.openxmlformats.org/officeDocument/2006/relationships/image" Target="../media/image43.png"/></Relationships>
</file>

<file path=xl/drawings/_rels/drawing9.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4"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editAs="oneCell">
    <xdr:from>
      <xdr:col>0</xdr:col>
      <xdr:colOff>571500</xdr:colOff>
      <xdr:row>24</xdr:row>
      <xdr:rowOff>124148</xdr:rowOff>
    </xdr:from>
    <xdr:to>
      <xdr:col>2</xdr:col>
      <xdr:colOff>1010090</xdr:colOff>
      <xdr:row>35</xdr:row>
      <xdr:rowOff>59045</xdr:rowOff>
    </xdr:to>
    <xdr:pic>
      <xdr:nvPicPr>
        <xdr:cNvPr id="2" name="Picture 1">
          <a:extLst>
            <a:ext uri="{FF2B5EF4-FFF2-40B4-BE49-F238E27FC236}">
              <a16:creationId xmlns:a16="http://schemas.microsoft.com/office/drawing/2014/main" id="{615AC678-2507-DD54-A2B1-3A22BB7D4B7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71500" y="3195008"/>
          <a:ext cx="7787640" cy="17941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2872740</xdr:colOff>
      <xdr:row>46</xdr:row>
      <xdr:rowOff>76200</xdr:rowOff>
    </xdr:from>
    <xdr:to>
      <xdr:col>2</xdr:col>
      <xdr:colOff>111621</xdr:colOff>
      <xdr:row>59</xdr:row>
      <xdr:rowOff>16185</xdr:rowOff>
    </xdr:to>
    <xdr:pic>
      <xdr:nvPicPr>
        <xdr:cNvPr id="7" name="Picture 6">
          <a:extLst>
            <a:ext uri="{FF2B5EF4-FFF2-40B4-BE49-F238E27FC236}">
              <a16:creationId xmlns:a16="http://schemas.microsoft.com/office/drawing/2014/main" id="{CAACA16E-6577-BF7D-A8A6-4AB0A5E60281}"/>
            </a:ext>
          </a:extLst>
        </xdr:cNvPr>
        <xdr:cNvPicPr>
          <a:picLocks noChangeAspect="1"/>
        </xdr:cNvPicPr>
      </xdr:nvPicPr>
      <xdr:blipFill>
        <a:blip xmlns:r="http://schemas.openxmlformats.org/officeDocument/2006/relationships" r:embed="rId2"/>
        <a:stretch>
          <a:fillRect/>
        </a:stretch>
      </xdr:blipFill>
      <xdr:spPr>
        <a:xfrm>
          <a:off x="3878580" y="10165080"/>
          <a:ext cx="3564946" cy="2115495"/>
        </a:xfrm>
        <a:prstGeom prst="rect">
          <a:avLst/>
        </a:prstGeom>
      </xdr:spPr>
    </xdr:pic>
    <xdr:clientData/>
  </xdr:twoCellAnchor>
  <xdr:twoCellAnchor editAs="oneCell">
    <xdr:from>
      <xdr:col>0</xdr:col>
      <xdr:colOff>213360</xdr:colOff>
      <xdr:row>46</xdr:row>
      <xdr:rowOff>137160</xdr:rowOff>
    </xdr:from>
    <xdr:to>
      <xdr:col>1</xdr:col>
      <xdr:colOff>2802185</xdr:colOff>
      <xdr:row>59</xdr:row>
      <xdr:rowOff>41711</xdr:rowOff>
    </xdr:to>
    <xdr:pic>
      <xdr:nvPicPr>
        <xdr:cNvPr id="8" name="Picture 7">
          <a:extLst>
            <a:ext uri="{FF2B5EF4-FFF2-40B4-BE49-F238E27FC236}">
              <a16:creationId xmlns:a16="http://schemas.microsoft.com/office/drawing/2014/main" id="{041BE6C5-A94B-06D9-B797-47301E8E8719}"/>
            </a:ext>
          </a:extLst>
        </xdr:cNvPr>
        <xdr:cNvPicPr>
          <a:picLocks noChangeAspect="1"/>
        </xdr:cNvPicPr>
      </xdr:nvPicPr>
      <xdr:blipFill>
        <a:blip xmlns:r="http://schemas.openxmlformats.org/officeDocument/2006/relationships" r:embed="rId3"/>
        <a:stretch>
          <a:fillRect/>
        </a:stretch>
      </xdr:blipFill>
      <xdr:spPr>
        <a:xfrm>
          <a:off x="213360" y="10226040"/>
          <a:ext cx="3590855" cy="2083871"/>
        </a:xfrm>
        <a:prstGeom prst="rect">
          <a:avLst/>
        </a:prstGeom>
      </xdr:spPr>
    </xdr:pic>
    <xdr:clientData/>
  </xdr:twoCellAnchor>
  <xdr:twoCellAnchor editAs="oneCell">
    <xdr:from>
      <xdr:col>0</xdr:col>
      <xdr:colOff>152400</xdr:colOff>
      <xdr:row>61</xdr:row>
      <xdr:rowOff>160020</xdr:rowOff>
    </xdr:from>
    <xdr:to>
      <xdr:col>2</xdr:col>
      <xdr:colOff>830880</xdr:colOff>
      <xdr:row>77</xdr:row>
      <xdr:rowOff>1905</xdr:rowOff>
    </xdr:to>
    <xdr:pic>
      <xdr:nvPicPr>
        <xdr:cNvPr id="5" name="Picture 4">
          <a:extLst>
            <a:ext uri="{FF2B5EF4-FFF2-40B4-BE49-F238E27FC236}">
              <a16:creationId xmlns:a16="http://schemas.microsoft.com/office/drawing/2014/main" id="{C9D624EB-0590-712E-D702-AB73191E3D83}"/>
            </a:ext>
          </a:extLst>
        </xdr:cNvPr>
        <xdr:cNvPicPr>
          <a:picLocks noChangeAspect="1"/>
        </xdr:cNvPicPr>
      </xdr:nvPicPr>
      <xdr:blipFill rotWithShape="1">
        <a:blip xmlns:r="http://schemas.openxmlformats.org/officeDocument/2006/relationships" r:embed="rId4"/>
        <a:srcRect t="2412"/>
        <a:stretch/>
      </xdr:blipFill>
      <xdr:spPr>
        <a:xfrm>
          <a:off x="152400" y="12763500"/>
          <a:ext cx="8012290" cy="2524125"/>
        </a:xfrm>
        <a:prstGeom prst="rect">
          <a:avLst/>
        </a:prstGeom>
        <a:ln w="3175">
          <a:solidFill>
            <a:schemeClr val="tx1"/>
          </a:solidFill>
        </a:ln>
      </xdr:spPr>
    </xdr:pic>
    <xdr:clientData/>
  </xdr:twoCellAnchor>
  <xdr:twoCellAnchor editAs="oneCell">
    <xdr:from>
      <xdr:col>1</xdr:col>
      <xdr:colOff>369571</xdr:colOff>
      <xdr:row>78</xdr:row>
      <xdr:rowOff>82732</xdr:rowOff>
    </xdr:from>
    <xdr:to>
      <xdr:col>1</xdr:col>
      <xdr:colOff>5465068</xdr:colOff>
      <xdr:row>87</xdr:row>
      <xdr:rowOff>45720</xdr:rowOff>
    </xdr:to>
    <xdr:pic>
      <xdr:nvPicPr>
        <xdr:cNvPr id="10" name="Picture 9">
          <a:extLst>
            <a:ext uri="{FF2B5EF4-FFF2-40B4-BE49-F238E27FC236}">
              <a16:creationId xmlns:a16="http://schemas.microsoft.com/office/drawing/2014/main" id="{C1D513FF-711D-4D1A-82C5-EEFB0309D1CD}"/>
            </a:ext>
          </a:extLst>
        </xdr:cNvPr>
        <xdr:cNvPicPr>
          <a:picLocks noChangeAspect="1"/>
        </xdr:cNvPicPr>
      </xdr:nvPicPr>
      <xdr:blipFill>
        <a:blip xmlns:r="http://schemas.openxmlformats.org/officeDocument/2006/relationships" r:embed="rId5"/>
        <a:stretch>
          <a:fillRect/>
        </a:stretch>
      </xdr:blipFill>
      <xdr:spPr>
        <a:xfrm>
          <a:off x="1375411" y="15536092"/>
          <a:ext cx="5091687" cy="146984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xdr:colOff>
      <xdr:row>39</xdr:row>
      <xdr:rowOff>129540</xdr:rowOff>
    </xdr:from>
    <xdr:to>
      <xdr:col>2</xdr:col>
      <xdr:colOff>335487</xdr:colOff>
      <xdr:row>58</xdr:row>
      <xdr:rowOff>45719</xdr:rowOff>
    </xdr:to>
    <xdr:pic>
      <xdr:nvPicPr>
        <xdr:cNvPr id="2" name="Picture 1">
          <a:extLst>
            <a:ext uri="{FF2B5EF4-FFF2-40B4-BE49-F238E27FC236}">
              <a16:creationId xmlns:a16="http://schemas.microsoft.com/office/drawing/2014/main" id="{5225DA96-B4BD-41FF-ACA9-2421EC577A4C}"/>
            </a:ext>
          </a:extLst>
        </xdr:cNvPr>
        <xdr:cNvPicPr>
          <a:picLocks noChangeAspect="1"/>
        </xdr:cNvPicPr>
      </xdr:nvPicPr>
      <xdr:blipFill>
        <a:blip xmlns:r="http://schemas.openxmlformats.org/officeDocument/2006/relationships" r:embed="rId1"/>
        <a:stretch>
          <a:fillRect/>
        </a:stretch>
      </xdr:blipFill>
      <xdr:spPr>
        <a:xfrm>
          <a:off x="1" y="7147560"/>
          <a:ext cx="5265626" cy="310133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29</xdr:col>
      <xdr:colOff>236285</xdr:colOff>
      <xdr:row>28</xdr:row>
      <xdr:rowOff>22412</xdr:rowOff>
    </xdr:from>
    <xdr:to>
      <xdr:col>35</xdr:col>
      <xdr:colOff>587813</xdr:colOff>
      <xdr:row>30</xdr:row>
      <xdr:rowOff>429092</xdr:rowOff>
    </xdr:to>
    <xdr:graphicFrame macro="">
      <xdr:nvGraphicFramePr>
        <xdr:cNvPr id="9" name="Chart 5">
          <a:extLst>
            <a:ext uri="{FF2B5EF4-FFF2-40B4-BE49-F238E27FC236}">
              <a16:creationId xmlns:a16="http://schemas.microsoft.com/office/drawing/2014/main" id="{CBDA0656-8164-4FA8-8BE7-79F7FE5F5FB7}"/>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29</xdr:col>
      <xdr:colOff>246018</xdr:colOff>
      <xdr:row>31</xdr:row>
      <xdr:rowOff>32660</xdr:rowOff>
    </xdr:from>
    <xdr:to>
      <xdr:col>35</xdr:col>
      <xdr:colOff>598716</xdr:colOff>
      <xdr:row>33</xdr:row>
      <xdr:rowOff>424546</xdr:rowOff>
    </xdr:to>
    <xdr:graphicFrame macro="">
      <xdr:nvGraphicFramePr>
        <xdr:cNvPr id="18" name="Chart 5">
          <a:extLst>
            <a:ext uri="{FF2B5EF4-FFF2-40B4-BE49-F238E27FC236}">
              <a16:creationId xmlns:a16="http://schemas.microsoft.com/office/drawing/2014/main" id="{D1C87CF7-6396-404E-8ACD-112AC14A41DC}"/>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29</xdr:col>
      <xdr:colOff>315686</xdr:colOff>
      <xdr:row>46</xdr:row>
      <xdr:rowOff>0</xdr:rowOff>
    </xdr:from>
    <xdr:to>
      <xdr:col>36</xdr:col>
      <xdr:colOff>26126</xdr:colOff>
      <xdr:row>49</xdr:row>
      <xdr:rowOff>0</xdr:rowOff>
    </xdr:to>
    <xdr:graphicFrame macro="">
      <xdr:nvGraphicFramePr>
        <xdr:cNvPr id="19" name="Chart 5">
          <a:extLst>
            <a:ext uri="{FF2B5EF4-FFF2-40B4-BE49-F238E27FC236}">
              <a16:creationId xmlns:a16="http://schemas.microsoft.com/office/drawing/2014/main" id="{6467D4B0-6F0E-43CB-958A-F19CE6AFCF64}"/>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29</xdr:col>
      <xdr:colOff>289560</xdr:colOff>
      <xdr:row>43</xdr:row>
      <xdr:rowOff>0</xdr:rowOff>
    </xdr:from>
    <xdr:to>
      <xdr:col>36</xdr:col>
      <xdr:colOff>0</xdr:colOff>
      <xdr:row>45</xdr:row>
      <xdr:rowOff>391886</xdr:rowOff>
    </xdr:to>
    <xdr:graphicFrame macro="">
      <xdr:nvGraphicFramePr>
        <xdr:cNvPr id="4" name="Chart 5">
          <a:extLst>
            <a:ext uri="{FF2B5EF4-FFF2-40B4-BE49-F238E27FC236}">
              <a16:creationId xmlns:a16="http://schemas.microsoft.com/office/drawing/2014/main" id="{3276DD33-D44A-4033-8A9C-9DA4C4504160}"/>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289560</xdr:colOff>
      <xdr:row>37</xdr:row>
      <xdr:rowOff>0</xdr:rowOff>
    </xdr:from>
    <xdr:to>
      <xdr:col>36</xdr:col>
      <xdr:colOff>0</xdr:colOff>
      <xdr:row>39</xdr:row>
      <xdr:rowOff>391886</xdr:rowOff>
    </xdr:to>
    <xdr:graphicFrame macro="">
      <xdr:nvGraphicFramePr>
        <xdr:cNvPr id="5" name="Chart 5">
          <a:extLst>
            <a:ext uri="{FF2B5EF4-FFF2-40B4-BE49-F238E27FC236}">
              <a16:creationId xmlns:a16="http://schemas.microsoft.com/office/drawing/2014/main" id="{62336BB4-410A-4EE9-A99F-352F236F0B50}"/>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29</xdr:col>
      <xdr:colOff>289560</xdr:colOff>
      <xdr:row>40</xdr:row>
      <xdr:rowOff>0</xdr:rowOff>
    </xdr:from>
    <xdr:to>
      <xdr:col>36</xdr:col>
      <xdr:colOff>0</xdr:colOff>
      <xdr:row>42</xdr:row>
      <xdr:rowOff>391886</xdr:rowOff>
    </xdr:to>
    <xdr:graphicFrame macro="">
      <xdr:nvGraphicFramePr>
        <xdr:cNvPr id="6" name="Chart 5">
          <a:extLst>
            <a:ext uri="{FF2B5EF4-FFF2-40B4-BE49-F238E27FC236}">
              <a16:creationId xmlns:a16="http://schemas.microsoft.com/office/drawing/2014/main" id="{8C67FDD8-C518-463D-9CF8-72D84E52F168}"/>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29</xdr:col>
      <xdr:colOff>289560</xdr:colOff>
      <xdr:row>59</xdr:row>
      <xdr:rowOff>0</xdr:rowOff>
    </xdr:from>
    <xdr:to>
      <xdr:col>36</xdr:col>
      <xdr:colOff>0</xdr:colOff>
      <xdr:row>61</xdr:row>
      <xdr:rowOff>391886</xdr:rowOff>
    </xdr:to>
    <xdr:graphicFrame macro="">
      <xdr:nvGraphicFramePr>
        <xdr:cNvPr id="11" name="Chart 5">
          <a:extLst>
            <a:ext uri="{FF2B5EF4-FFF2-40B4-BE49-F238E27FC236}">
              <a16:creationId xmlns:a16="http://schemas.microsoft.com/office/drawing/2014/main" id="{5C5221C7-D7B4-4CDB-AC9A-E94DE9E9F451}"/>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29</xdr:col>
      <xdr:colOff>277233</xdr:colOff>
      <xdr:row>70</xdr:row>
      <xdr:rowOff>468407</xdr:rowOff>
    </xdr:from>
    <xdr:to>
      <xdr:col>35</xdr:col>
      <xdr:colOff>609600</xdr:colOff>
      <xdr:row>71</xdr:row>
      <xdr:rowOff>0</xdr:rowOff>
    </xdr:to>
    <xdr:graphicFrame macro="">
      <xdr:nvGraphicFramePr>
        <xdr:cNvPr id="12" name="Chart 5">
          <a:extLst>
            <a:ext uri="{FF2B5EF4-FFF2-40B4-BE49-F238E27FC236}">
              <a16:creationId xmlns:a16="http://schemas.microsoft.com/office/drawing/2014/main" id="{E9CB1F1E-DF15-44A7-A484-E3F4D3785BBD}"/>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29</xdr:col>
      <xdr:colOff>278355</xdr:colOff>
      <xdr:row>68</xdr:row>
      <xdr:rowOff>75079</xdr:rowOff>
    </xdr:from>
    <xdr:to>
      <xdr:col>35</xdr:col>
      <xdr:colOff>618566</xdr:colOff>
      <xdr:row>70</xdr:row>
      <xdr:rowOff>349624</xdr:rowOff>
    </xdr:to>
    <xdr:graphicFrame macro="">
      <xdr:nvGraphicFramePr>
        <xdr:cNvPr id="13" name="Chart 5">
          <a:extLst>
            <a:ext uri="{FF2B5EF4-FFF2-40B4-BE49-F238E27FC236}">
              <a16:creationId xmlns:a16="http://schemas.microsoft.com/office/drawing/2014/main" id="{56BF1BAA-3B9B-4245-9630-4748BC235063}"/>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29</xdr:col>
      <xdr:colOff>285750</xdr:colOff>
      <xdr:row>55</xdr:row>
      <xdr:rowOff>163286</xdr:rowOff>
    </xdr:from>
    <xdr:to>
      <xdr:col>35</xdr:col>
      <xdr:colOff>636270</xdr:colOff>
      <xdr:row>58</xdr:row>
      <xdr:rowOff>345622</xdr:rowOff>
    </xdr:to>
    <xdr:graphicFrame macro="">
      <xdr:nvGraphicFramePr>
        <xdr:cNvPr id="14" name="Chart 5">
          <a:extLst>
            <a:ext uri="{FF2B5EF4-FFF2-40B4-BE49-F238E27FC236}">
              <a16:creationId xmlns:a16="http://schemas.microsoft.com/office/drawing/2014/main" id="{96F21BDD-BAD1-4B2E-A747-8A2C725A4A83}"/>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29</xdr:col>
      <xdr:colOff>284629</xdr:colOff>
      <xdr:row>61</xdr:row>
      <xdr:rowOff>433667</xdr:rowOff>
    </xdr:from>
    <xdr:to>
      <xdr:col>36</xdr:col>
      <xdr:colOff>6275</xdr:colOff>
      <xdr:row>68</xdr:row>
      <xdr:rowOff>31376</xdr:rowOff>
    </xdr:to>
    <xdr:graphicFrame macro="">
      <xdr:nvGraphicFramePr>
        <xdr:cNvPr id="15" name="Chart 5">
          <a:extLst>
            <a:ext uri="{FF2B5EF4-FFF2-40B4-BE49-F238E27FC236}">
              <a16:creationId xmlns:a16="http://schemas.microsoft.com/office/drawing/2014/main" id="{47775F09-56BF-4E1F-B44E-52B2390B093C}"/>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29</xdr:col>
      <xdr:colOff>278354</xdr:colOff>
      <xdr:row>71</xdr:row>
      <xdr:rowOff>57150</xdr:rowOff>
    </xdr:from>
    <xdr:to>
      <xdr:col>36</xdr:col>
      <xdr:colOff>0</xdr:colOff>
      <xdr:row>73</xdr:row>
      <xdr:rowOff>449036</xdr:rowOff>
    </xdr:to>
    <xdr:graphicFrame macro="">
      <xdr:nvGraphicFramePr>
        <xdr:cNvPr id="17" name="Chart 5">
          <a:extLst>
            <a:ext uri="{FF2B5EF4-FFF2-40B4-BE49-F238E27FC236}">
              <a16:creationId xmlns:a16="http://schemas.microsoft.com/office/drawing/2014/main" id="{E81D5F9C-0BC8-48B1-AA2D-5BE602D4AFDA}"/>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29</xdr:col>
      <xdr:colOff>289560</xdr:colOff>
      <xdr:row>84</xdr:row>
      <xdr:rowOff>0</xdr:rowOff>
    </xdr:from>
    <xdr:to>
      <xdr:col>36</xdr:col>
      <xdr:colOff>0</xdr:colOff>
      <xdr:row>86</xdr:row>
      <xdr:rowOff>391886</xdr:rowOff>
    </xdr:to>
    <xdr:graphicFrame macro="">
      <xdr:nvGraphicFramePr>
        <xdr:cNvPr id="22" name="Chart 5">
          <a:extLst>
            <a:ext uri="{FF2B5EF4-FFF2-40B4-BE49-F238E27FC236}">
              <a16:creationId xmlns:a16="http://schemas.microsoft.com/office/drawing/2014/main" id="{DA3A4070-A25B-4C1C-AE37-D124A8935D1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29</xdr:col>
      <xdr:colOff>232410</xdr:colOff>
      <xdr:row>93</xdr:row>
      <xdr:rowOff>38100</xdr:rowOff>
    </xdr:from>
    <xdr:to>
      <xdr:col>35</xdr:col>
      <xdr:colOff>590550</xdr:colOff>
      <xdr:row>96</xdr:row>
      <xdr:rowOff>0</xdr:rowOff>
    </xdr:to>
    <xdr:graphicFrame macro="">
      <xdr:nvGraphicFramePr>
        <xdr:cNvPr id="23" name="Chart 5">
          <a:extLst>
            <a:ext uri="{FF2B5EF4-FFF2-40B4-BE49-F238E27FC236}">
              <a16:creationId xmlns:a16="http://schemas.microsoft.com/office/drawing/2014/main" id="{564CB145-86A8-4F30-9AF8-085969CB0E34}"/>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29</xdr:col>
      <xdr:colOff>251460</xdr:colOff>
      <xdr:row>90</xdr:row>
      <xdr:rowOff>57150</xdr:rowOff>
    </xdr:from>
    <xdr:to>
      <xdr:col>35</xdr:col>
      <xdr:colOff>609600</xdr:colOff>
      <xdr:row>92</xdr:row>
      <xdr:rowOff>385482</xdr:rowOff>
    </xdr:to>
    <xdr:graphicFrame macro="">
      <xdr:nvGraphicFramePr>
        <xdr:cNvPr id="25" name="Chart 5">
          <a:extLst>
            <a:ext uri="{FF2B5EF4-FFF2-40B4-BE49-F238E27FC236}">
              <a16:creationId xmlns:a16="http://schemas.microsoft.com/office/drawing/2014/main" id="{1F24D7BA-70CD-446D-8581-D2FEC00CB76F}"/>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29</xdr:col>
      <xdr:colOff>285750</xdr:colOff>
      <xdr:row>80</xdr:row>
      <xdr:rowOff>152400</xdr:rowOff>
    </xdr:from>
    <xdr:to>
      <xdr:col>35</xdr:col>
      <xdr:colOff>643890</xdr:colOff>
      <xdr:row>83</xdr:row>
      <xdr:rowOff>334736</xdr:rowOff>
    </xdr:to>
    <xdr:graphicFrame macro="">
      <xdr:nvGraphicFramePr>
        <xdr:cNvPr id="26" name="Chart 5">
          <a:extLst>
            <a:ext uri="{FF2B5EF4-FFF2-40B4-BE49-F238E27FC236}">
              <a16:creationId xmlns:a16="http://schemas.microsoft.com/office/drawing/2014/main" id="{A0EC8E0E-0B92-461D-BC03-663FE7FF484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29</xdr:col>
      <xdr:colOff>275665</xdr:colOff>
      <xdr:row>87</xdr:row>
      <xdr:rowOff>21291</xdr:rowOff>
    </xdr:from>
    <xdr:to>
      <xdr:col>35</xdr:col>
      <xdr:colOff>633805</xdr:colOff>
      <xdr:row>89</xdr:row>
      <xdr:rowOff>385483</xdr:rowOff>
    </xdr:to>
    <xdr:graphicFrame macro="">
      <xdr:nvGraphicFramePr>
        <xdr:cNvPr id="27" name="Chart 5">
          <a:extLst>
            <a:ext uri="{FF2B5EF4-FFF2-40B4-BE49-F238E27FC236}">
              <a16:creationId xmlns:a16="http://schemas.microsoft.com/office/drawing/2014/main" id="{6AFCF6E6-DC11-452D-96B8-168B6E73D167}"/>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29</xdr:col>
      <xdr:colOff>224566</xdr:colOff>
      <xdr:row>96</xdr:row>
      <xdr:rowOff>48185</xdr:rowOff>
    </xdr:from>
    <xdr:to>
      <xdr:col>35</xdr:col>
      <xdr:colOff>582706</xdr:colOff>
      <xdr:row>98</xdr:row>
      <xdr:rowOff>440071</xdr:rowOff>
    </xdr:to>
    <xdr:graphicFrame macro="">
      <xdr:nvGraphicFramePr>
        <xdr:cNvPr id="29" name="Chart 5">
          <a:extLst>
            <a:ext uri="{FF2B5EF4-FFF2-40B4-BE49-F238E27FC236}">
              <a16:creationId xmlns:a16="http://schemas.microsoft.com/office/drawing/2014/main" id="{67401826-D9D1-4A5D-B655-FF2700CEC92F}"/>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29</xdr:col>
      <xdr:colOff>286870</xdr:colOff>
      <xdr:row>42</xdr:row>
      <xdr:rowOff>466165</xdr:rowOff>
    </xdr:from>
    <xdr:to>
      <xdr:col>35</xdr:col>
      <xdr:colOff>633804</xdr:colOff>
      <xdr:row>43</xdr:row>
      <xdr:rowOff>0</xdr:rowOff>
    </xdr:to>
    <xdr:graphicFrame macro="">
      <xdr:nvGraphicFramePr>
        <xdr:cNvPr id="31" name="Chart 5">
          <a:extLst>
            <a:ext uri="{FF2B5EF4-FFF2-40B4-BE49-F238E27FC236}">
              <a16:creationId xmlns:a16="http://schemas.microsoft.com/office/drawing/2014/main" id="{75D80ACD-9CD3-4A55-802A-F97B314FE22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29</xdr:col>
      <xdr:colOff>244847</xdr:colOff>
      <xdr:row>218</xdr:row>
      <xdr:rowOff>33618</xdr:rowOff>
    </xdr:from>
    <xdr:to>
      <xdr:col>35</xdr:col>
      <xdr:colOff>586850</xdr:colOff>
      <xdr:row>220</xdr:row>
      <xdr:rowOff>418428</xdr:rowOff>
    </xdr:to>
    <xdr:graphicFrame macro="">
      <xdr:nvGraphicFramePr>
        <xdr:cNvPr id="33" name="Chart 5">
          <a:extLst>
            <a:ext uri="{FF2B5EF4-FFF2-40B4-BE49-F238E27FC236}">
              <a16:creationId xmlns:a16="http://schemas.microsoft.com/office/drawing/2014/main" id="{B3578099-94A6-4869-8EF1-3541D90D46BF}"/>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29</xdr:col>
      <xdr:colOff>272143</xdr:colOff>
      <xdr:row>34</xdr:row>
      <xdr:rowOff>0</xdr:rowOff>
    </xdr:from>
    <xdr:to>
      <xdr:col>35</xdr:col>
      <xdr:colOff>624841</xdr:colOff>
      <xdr:row>36</xdr:row>
      <xdr:rowOff>391887</xdr:rowOff>
    </xdr:to>
    <xdr:graphicFrame macro="">
      <xdr:nvGraphicFramePr>
        <xdr:cNvPr id="8" name="Chart 5">
          <a:extLst>
            <a:ext uri="{FF2B5EF4-FFF2-40B4-BE49-F238E27FC236}">
              <a16:creationId xmlns:a16="http://schemas.microsoft.com/office/drawing/2014/main" id="{5C82506D-AA6C-4D44-9AE7-70079C76F33A}"/>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29</xdr:col>
      <xdr:colOff>313765</xdr:colOff>
      <xdr:row>49</xdr:row>
      <xdr:rowOff>33617</xdr:rowOff>
    </xdr:from>
    <xdr:to>
      <xdr:col>36</xdr:col>
      <xdr:colOff>18490</xdr:colOff>
      <xdr:row>52</xdr:row>
      <xdr:rowOff>33618</xdr:rowOff>
    </xdr:to>
    <xdr:graphicFrame macro="">
      <xdr:nvGraphicFramePr>
        <xdr:cNvPr id="21" name="Chart 5">
          <a:extLst>
            <a:ext uri="{FF2B5EF4-FFF2-40B4-BE49-F238E27FC236}">
              <a16:creationId xmlns:a16="http://schemas.microsoft.com/office/drawing/2014/main" id="{3DF6ECEF-8FFE-45DF-AFB8-66EB184D2A50}"/>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29</xdr:col>
      <xdr:colOff>323066</xdr:colOff>
      <xdr:row>52</xdr:row>
      <xdr:rowOff>102758</xdr:rowOff>
    </xdr:from>
    <xdr:to>
      <xdr:col>36</xdr:col>
      <xdr:colOff>27791</xdr:colOff>
      <xdr:row>55</xdr:row>
      <xdr:rowOff>102758</xdr:rowOff>
    </xdr:to>
    <xdr:graphicFrame macro="">
      <xdr:nvGraphicFramePr>
        <xdr:cNvPr id="24" name="Chart 5">
          <a:extLst>
            <a:ext uri="{FF2B5EF4-FFF2-40B4-BE49-F238E27FC236}">
              <a16:creationId xmlns:a16="http://schemas.microsoft.com/office/drawing/2014/main" id="{165C6C1A-290D-41A1-8C87-D4257AD35AC5}"/>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29</xdr:col>
      <xdr:colOff>246530</xdr:colOff>
      <xdr:row>99</xdr:row>
      <xdr:rowOff>0</xdr:rowOff>
    </xdr:from>
    <xdr:to>
      <xdr:col>35</xdr:col>
      <xdr:colOff>591895</xdr:colOff>
      <xdr:row>102</xdr:row>
      <xdr:rowOff>0</xdr:rowOff>
    </xdr:to>
    <xdr:graphicFrame macro="">
      <xdr:nvGraphicFramePr>
        <xdr:cNvPr id="28" name="Chart 5">
          <a:extLst>
            <a:ext uri="{FF2B5EF4-FFF2-40B4-BE49-F238E27FC236}">
              <a16:creationId xmlns:a16="http://schemas.microsoft.com/office/drawing/2014/main" id="{BC519BF0-FF78-4ED7-8E9F-D2AB768C90B9}"/>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29</xdr:col>
      <xdr:colOff>259641</xdr:colOff>
      <xdr:row>102</xdr:row>
      <xdr:rowOff>53788</xdr:rowOff>
    </xdr:from>
    <xdr:to>
      <xdr:col>35</xdr:col>
      <xdr:colOff>597386</xdr:colOff>
      <xdr:row>105</xdr:row>
      <xdr:rowOff>0</xdr:rowOff>
    </xdr:to>
    <xdr:graphicFrame macro="">
      <xdr:nvGraphicFramePr>
        <xdr:cNvPr id="30" name="Chart 5">
          <a:extLst>
            <a:ext uri="{FF2B5EF4-FFF2-40B4-BE49-F238E27FC236}">
              <a16:creationId xmlns:a16="http://schemas.microsoft.com/office/drawing/2014/main" id="{331A2C59-7D36-4C7A-9FF0-6A90CA3B6CF7}"/>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twoCellAnchor>
    <xdr:from>
      <xdr:col>29</xdr:col>
      <xdr:colOff>272143</xdr:colOff>
      <xdr:row>74</xdr:row>
      <xdr:rowOff>27214</xdr:rowOff>
    </xdr:from>
    <xdr:to>
      <xdr:col>35</xdr:col>
      <xdr:colOff>607983</xdr:colOff>
      <xdr:row>76</xdr:row>
      <xdr:rowOff>436838</xdr:rowOff>
    </xdr:to>
    <xdr:graphicFrame macro="">
      <xdr:nvGraphicFramePr>
        <xdr:cNvPr id="32" name="Chart 5">
          <a:extLst>
            <a:ext uri="{FF2B5EF4-FFF2-40B4-BE49-F238E27FC236}">
              <a16:creationId xmlns:a16="http://schemas.microsoft.com/office/drawing/2014/main" id="{E18D335D-A904-4CA8-A92D-706E9C6A1D0C}"/>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6"/>
        </a:graphicData>
      </a:graphic>
    </xdr:graphicFrame>
    <xdr:clientData/>
  </xdr:twoCellAnchor>
  <xdr:twoCellAnchor>
    <xdr:from>
      <xdr:col>29</xdr:col>
      <xdr:colOff>281444</xdr:colOff>
      <xdr:row>77</xdr:row>
      <xdr:rowOff>14216</xdr:rowOff>
    </xdr:from>
    <xdr:to>
      <xdr:col>35</xdr:col>
      <xdr:colOff>615379</xdr:colOff>
      <xdr:row>79</xdr:row>
      <xdr:rowOff>411417</xdr:rowOff>
    </xdr:to>
    <xdr:graphicFrame macro="">
      <xdr:nvGraphicFramePr>
        <xdr:cNvPr id="34" name="Chart 5">
          <a:extLst>
            <a:ext uri="{FF2B5EF4-FFF2-40B4-BE49-F238E27FC236}">
              <a16:creationId xmlns:a16="http://schemas.microsoft.com/office/drawing/2014/main" id="{0DDF98D8-9D92-4163-8BA4-3A709C4D53B2}"/>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twoCellAnchor>
    <xdr:from>
      <xdr:col>29</xdr:col>
      <xdr:colOff>227928</xdr:colOff>
      <xdr:row>346</xdr:row>
      <xdr:rowOff>312965</xdr:rowOff>
    </xdr:from>
    <xdr:to>
      <xdr:col>35</xdr:col>
      <xdr:colOff>590886</xdr:colOff>
      <xdr:row>350</xdr:row>
      <xdr:rowOff>643</xdr:rowOff>
    </xdr:to>
    <xdr:graphicFrame macro="">
      <xdr:nvGraphicFramePr>
        <xdr:cNvPr id="35" name="Chart 5">
          <a:extLst>
            <a:ext uri="{FF2B5EF4-FFF2-40B4-BE49-F238E27FC236}">
              <a16:creationId xmlns:a16="http://schemas.microsoft.com/office/drawing/2014/main" id="{96902A3B-93CB-43C7-BC25-B22A5376FEE7}"/>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xdr:from>
      <xdr:col>29</xdr:col>
      <xdr:colOff>249828</xdr:colOff>
      <xdr:row>350</xdr:row>
      <xdr:rowOff>163285</xdr:rowOff>
    </xdr:from>
    <xdr:to>
      <xdr:col>35</xdr:col>
      <xdr:colOff>596811</xdr:colOff>
      <xdr:row>352</xdr:row>
      <xdr:rowOff>426450</xdr:rowOff>
    </xdr:to>
    <xdr:graphicFrame macro="">
      <xdr:nvGraphicFramePr>
        <xdr:cNvPr id="36" name="Chart 5">
          <a:extLst>
            <a:ext uri="{FF2B5EF4-FFF2-40B4-BE49-F238E27FC236}">
              <a16:creationId xmlns:a16="http://schemas.microsoft.com/office/drawing/2014/main" id="{FC82CB01-3BB7-4ED8-8A32-4A8F8D072347}"/>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9"/>
        </a:graphicData>
      </a:graphic>
    </xdr:graphicFrame>
    <xdr:clientData/>
  </xdr:twoCellAnchor>
  <xdr:twoCellAnchor>
    <xdr:from>
      <xdr:col>29</xdr:col>
      <xdr:colOff>289560</xdr:colOff>
      <xdr:row>356</xdr:row>
      <xdr:rowOff>0</xdr:rowOff>
    </xdr:from>
    <xdr:to>
      <xdr:col>36</xdr:col>
      <xdr:colOff>0</xdr:colOff>
      <xdr:row>358</xdr:row>
      <xdr:rowOff>391886</xdr:rowOff>
    </xdr:to>
    <xdr:graphicFrame macro="">
      <xdr:nvGraphicFramePr>
        <xdr:cNvPr id="39" name="Chart 5">
          <a:extLst>
            <a:ext uri="{FF2B5EF4-FFF2-40B4-BE49-F238E27FC236}">
              <a16:creationId xmlns:a16="http://schemas.microsoft.com/office/drawing/2014/main" id="{C6D0B476-24AB-4352-BBEE-6F9484A0759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twoCellAnchor>
    <xdr:from>
      <xdr:col>29</xdr:col>
      <xdr:colOff>289560</xdr:colOff>
      <xdr:row>359</xdr:row>
      <xdr:rowOff>0</xdr:rowOff>
    </xdr:from>
    <xdr:to>
      <xdr:col>36</xdr:col>
      <xdr:colOff>0</xdr:colOff>
      <xdr:row>361</xdr:row>
      <xdr:rowOff>391886</xdr:rowOff>
    </xdr:to>
    <xdr:graphicFrame macro="">
      <xdr:nvGraphicFramePr>
        <xdr:cNvPr id="40" name="Chart 39">
          <a:extLst>
            <a:ext uri="{FF2B5EF4-FFF2-40B4-BE49-F238E27FC236}">
              <a16:creationId xmlns:a16="http://schemas.microsoft.com/office/drawing/2014/main" id="{5ED62FFC-19D5-4419-B1AF-FE4125BFA229}"/>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1"/>
        </a:graphicData>
      </a:graphic>
    </xdr:graphicFrame>
    <xdr:clientData/>
  </xdr:twoCellAnchor>
  <xdr:twoCellAnchor>
    <xdr:from>
      <xdr:col>29</xdr:col>
      <xdr:colOff>286870</xdr:colOff>
      <xdr:row>361</xdr:row>
      <xdr:rowOff>466165</xdr:rowOff>
    </xdr:from>
    <xdr:to>
      <xdr:col>35</xdr:col>
      <xdr:colOff>633804</xdr:colOff>
      <xdr:row>362</xdr:row>
      <xdr:rowOff>0</xdr:rowOff>
    </xdr:to>
    <xdr:graphicFrame macro="">
      <xdr:nvGraphicFramePr>
        <xdr:cNvPr id="41" name="Chart 5">
          <a:extLst>
            <a:ext uri="{FF2B5EF4-FFF2-40B4-BE49-F238E27FC236}">
              <a16:creationId xmlns:a16="http://schemas.microsoft.com/office/drawing/2014/main" id="{4CBAE075-8924-4A1E-AD96-71E632FA466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2"/>
        </a:graphicData>
      </a:graphic>
    </xdr:graphicFrame>
    <xdr:clientData/>
  </xdr:twoCellAnchor>
  <xdr:twoCellAnchor>
    <xdr:from>
      <xdr:col>29</xdr:col>
      <xdr:colOff>272143</xdr:colOff>
      <xdr:row>353</xdr:row>
      <xdr:rowOff>0</xdr:rowOff>
    </xdr:from>
    <xdr:to>
      <xdr:col>35</xdr:col>
      <xdr:colOff>624841</xdr:colOff>
      <xdr:row>355</xdr:row>
      <xdr:rowOff>391887</xdr:rowOff>
    </xdr:to>
    <xdr:graphicFrame macro="">
      <xdr:nvGraphicFramePr>
        <xdr:cNvPr id="42" name="Chart 5">
          <a:extLst>
            <a:ext uri="{FF2B5EF4-FFF2-40B4-BE49-F238E27FC236}">
              <a16:creationId xmlns:a16="http://schemas.microsoft.com/office/drawing/2014/main" id="{DD073792-4407-47BF-9F3B-AD1C4848EF68}"/>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3"/>
        </a:graphicData>
      </a:graphic>
    </xdr:graphicFrame>
    <xdr:clientData/>
  </xdr:twoCellAnchor>
  <xdr:twoCellAnchor>
    <xdr:from>
      <xdr:col>29</xdr:col>
      <xdr:colOff>313765</xdr:colOff>
      <xdr:row>362</xdr:row>
      <xdr:rowOff>33617</xdr:rowOff>
    </xdr:from>
    <xdr:to>
      <xdr:col>36</xdr:col>
      <xdr:colOff>18490</xdr:colOff>
      <xdr:row>365</xdr:row>
      <xdr:rowOff>33618</xdr:rowOff>
    </xdr:to>
    <xdr:graphicFrame macro="">
      <xdr:nvGraphicFramePr>
        <xdr:cNvPr id="43" name="Chart 5">
          <a:extLst>
            <a:ext uri="{FF2B5EF4-FFF2-40B4-BE49-F238E27FC236}">
              <a16:creationId xmlns:a16="http://schemas.microsoft.com/office/drawing/2014/main" id="{7CC19BB4-EBB1-495D-B1A3-34E7F7529604}"/>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4"/>
        </a:graphicData>
      </a:graphic>
    </xdr:graphicFrame>
    <xdr:clientData/>
  </xdr:twoCellAnchor>
  <xdr:twoCellAnchor>
    <xdr:from>
      <xdr:col>29</xdr:col>
      <xdr:colOff>323066</xdr:colOff>
      <xdr:row>365</xdr:row>
      <xdr:rowOff>102758</xdr:rowOff>
    </xdr:from>
    <xdr:to>
      <xdr:col>36</xdr:col>
      <xdr:colOff>27791</xdr:colOff>
      <xdr:row>368</xdr:row>
      <xdr:rowOff>0</xdr:rowOff>
    </xdr:to>
    <xdr:graphicFrame macro="">
      <xdr:nvGraphicFramePr>
        <xdr:cNvPr id="44" name="Chart 5">
          <a:extLst>
            <a:ext uri="{FF2B5EF4-FFF2-40B4-BE49-F238E27FC236}">
              <a16:creationId xmlns:a16="http://schemas.microsoft.com/office/drawing/2014/main" id="{315E52DB-8002-4702-BFF4-4A0ECBE1A8EA}"/>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5"/>
        </a:graphicData>
      </a:graphic>
    </xdr:graphicFrame>
    <xdr:clientData/>
  </xdr:twoCellAnchor>
  <xdr:twoCellAnchor>
    <xdr:from>
      <xdr:col>29</xdr:col>
      <xdr:colOff>244847</xdr:colOff>
      <xdr:row>221</xdr:row>
      <xdr:rowOff>33618</xdr:rowOff>
    </xdr:from>
    <xdr:to>
      <xdr:col>35</xdr:col>
      <xdr:colOff>586850</xdr:colOff>
      <xdr:row>223</xdr:row>
      <xdr:rowOff>418428</xdr:rowOff>
    </xdr:to>
    <xdr:graphicFrame macro="">
      <xdr:nvGraphicFramePr>
        <xdr:cNvPr id="2" name="Chart 5">
          <a:extLst>
            <a:ext uri="{FF2B5EF4-FFF2-40B4-BE49-F238E27FC236}">
              <a16:creationId xmlns:a16="http://schemas.microsoft.com/office/drawing/2014/main" id="{595D8722-8472-4FBA-A41F-5839C1F5CC6D}"/>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6"/>
        </a:graphicData>
      </a:graphic>
    </xdr:graphicFrame>
    <xdr:clientData/>
  </xdr:twoCellAnchor>
  <xdr:twoCellAnchor>
    <xdr:from>
      <xdr:col>29</xdr:col>
      <xdr:colOff>63500</xdr:colOff>
      <xdr:row>192</xdr:row>
      <xdr:rowOff>423332</xdr:rowOff>
    </xdr:from>
    <xdr:to>
      <xdr:col>35</xdr:col>
      <xdr:colOff>409394</xdr:colOff>
      <xdr:row>195</xdr:row>
      <xdr:rowOff>423997</xdr:rowOff>
    </xdr:to>
    <xdr:graphicFrame macro="">
      <xdr:nvGraphicFramePr>
        <xdr:cNvPr id="47" name="Chart 5">
          <a:extLst>
            <a:ext uri="{FF2B5EF4-FFF2-40B4-BE49-F238E27FC236}">
              <a16:creationId xmlns:a16="http://schemas.microsoft.com/office/drawing/2014/main" id="{7F8C8456-8C05-4D5A-95CC-98799A6716E2}"/>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7"/>
        </a:graphicData>
      </a:graphic>
    </xdr:graphicFrame>
    <xdr:clientData/>
  </xdr:twoCellAnchor>
  <xdr:twoCellAnchor>
    <xdr:from>
      <xdr:col>29</xdr:col>
      <xdr:colOff>63500</xdr:colOff>
      <xdr:row>196</xdr:row>
      <xdr:rowOff>21167</xdr:rowOff>
    </xdr:from>
    <xdr:to>
      <xdr:col>35</xdr:col>
      <xdr:colOff>413204</xdr:colOff>
      <xdr:row>199</xdr:row>
      <xdr:rowOff>21832</xdr:rowOff>
    </xdr:to>
    <xdr:graphicFrame macro="">
      <xdr:nvGraphicFramePr>
        <xdr:cNvPr id="48" name="Chart 5">
          <a:extLst>
            <a:ext uri="{FF2B5EF4-FFF2-40B4-BE49-F238E27FC236}">
              <a16:creationId xmlns:a16="http://schemas.microsoft.com/office/drawing/2014/main" id="{0F0A69FC-BDCE-47A5-9C2E-064E4292B481}"/>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8"/>
        </a:graphicData>
      </a:graphic>
    </xdr:graphicFrame>
    <xdr:clientData/>
  </xdr:twoCellAnchor>
  <xdr:twoCellAnchor>
    <xdr:from>
      <xdr:col>29</xdr:col>
      <xdr:colOff>56727</xdr:colOff>
      <xdr:row>199</xdr:row>
      <xdr:rowOff>29845</xdr:rowOff>
    </xdr:from>
    <xdr:to>
      <xdr:col>35</xdr:col>
      <xdr:colOff>402621</xdr:colOff>
      <xdr:row>201</xdr:row>
      <xdr:rowOff>381000</xdr:rowOff>
    </xdr:to>
    <xdr:graphicFrame macro="">
      <xdr:nvGraphicFramePr>
        <xdr:cNvPr id="49" name="Chart 5">
          <a:extLst>
            <a:ext uri="{FF2B5EF4-FFF2-40B4-BE49-F238E27FC236}">
              <a16:creationId xmlns:a16="http://schemas.microsoft.com/office/drawing/2014/main" id="{42DF4A05-83DF-465C-B663-14D2DF3DDD60}"/>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9"/>
        </a:graphicData>
      </a:graphic>
    </xdr:graphicFrame>
    <xdr:clientData/>
  </xdr:twoCellAnchor>
  <xdr:twoCellAnchor>
    <xdr:from>
      <xdr:col>29</xdr:col>
      <xdr:colOff>66131</xdr:colOff>
      <xdr:row>201</xdr:row>
      <xdr:rowOff>428721</xdr:rowOff>
    </xdr:from>
    <xdr:to>
      <xdr:col>35</xdr:col>
      <xdr:colOff>419645</xdr:colOff>
      <xdr:row>205</xdr:row>
      <xdr:rowOff>30215</xdr:rowOff>
    </xdr:to>
    <xdr:graphicFrame macro="">
      <xdr:nvGraphicFramePr>
        <xdr:cNvPr id="50" name="Chart 49">
          <a:extLst>
            <a:ext uri="{FF2B5EF4-FFF2-40B4-BE49-F238E27FC236}">
              <a16:creationId xmlns:a16="http://schemas.microsoft.com/office/drawing/2014/main" id="{B4E4F1CD-223F-40C4-A7B2-8CC24130A3A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0"/>
        </a:graphicData>
      </a:graphic>
    </xdr:graphicFrame>
    <xdr:clientData/>
  </xdr:twoCellAnchor>
  <xdr:twoCellAnchor>
    <xdr:from>
      <xdr:col>29</xdr:col>
      <xdr:colOff>64885</xdr:colOff>
      <xdr:row>205</xdr:row>
      <xdr:rowOff>60869</xdr:rowOff>
    </xdr:from>
    <xdr:to>
      <xdr:col>35</xdr:col>
      <xdr:colOff>408874</xdr:colOff>
      <xdr:row>207</xdr:row>
      <xdr:rowOff>415835</xdr:rowOff>
    </xdr:to>
    <xdr:graphicFrame macro="">
      <xdr:nvGraphicFramePr>
        <xdr:cNvPr id="51" name="Chart 5">
          <a:extLst>
            <a:ext uri="{FF2B5EF4-FFF2-40B4-BE49-F238E27FC236}">
              <a16:creationId xmlns:a16="http://schemas.microsoft.com/office/drawing/2014/main" id="{A62D4D59-8D38-4DDC-BECD-8A6B0B29C9D5}"/>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1"/>
        </a:graphicData>
      </a:graphic>
    </xdr:graphicFrame>
    <xdr:clientData/>
  </xdr:twoCellAnchor>
  <xdr:twoCellAnchor>
    <xdr:from>
      <xdr:col>29</xdr:col>
      <xdr:colOff>62320</xdr:colOff>
      <xdr:row>208</xdr:row>
      <xdr:rowOff>55116</xdr:rowOff>
    </xdr:from>
    <xdr:to>
      <xdr:col>35</xdr:col>
      <xdr:colOff>406309</xdr:colOff>
      <xdr:row>210</xdr:row>
      <xdr:rowOff>434846</xdr:rowOff>
    </xdr:to>
    <xdr:graphicFrame macro="">
      <xdr:nvGraphicFramePr>
        <xdr:cNvPr id="52" name="Chart 5">
          <a:extLst>
            <a:ext uri="{FF2B5EF4-FFF2-40B4-BE49-F238E27FC236}">
              <a16:creationId xmlns:a16="http://schemas.microsoft.com/office/drawing/2014/main" id="{11BE8B3D-6CE5-4263-8EB7-00227A815CF7}"/>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2"/>
        </a:graphicData>
      </a:graphic>
    </xdr:graphicFrame>
    <xdr:clientData/>
  </xdr:twoCellAnchor>
  <xdr:twoCellAnchor>
    <xdr:from>
      <xdr:col>29</xdr:col>
      <xdr:colOff>92657</xdr:colOff>
      <xdr:row>211</xdr:row>
      <xdr:rowOff>40821</xdr:rowOff>
    </xdr:from>
    <xdr:to>
      <xdr:col>35</xdr:col>
      <xdr:colOff>411816</xdr:colOff>
      <xdr:row>213</xdr:row>
      <xdr:rowOff>367889</xdr:rowOff>
    </xdr:to>
    <xdr:graphicFrame macro="">
      <xdr:nvGraphicFramePr>
        <xdr:cNvPr id="53" name="Chart 5">
          <a:extLst>
            <a:ext uri="{FF2B5EF4-FFF2-40B4-BE49-F238E27FC236}">
              <a16:creationId xmlns:a16="http://schemas.microsoft.com/office/drawing/2014/main" id="{345CB67F-9C9F-45F1-9DED-A2F8DE277210}"/>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3"/>
        </a:graphicData>
      </a:graphic>
    </xdr:graphicFrame>
    <xdr:clientData/>
  </xdr:twoCellAnchor>
  <xdr:twoCellAnchor>
    <xdr:from>
      <xdr:col>29</xdr:col>
      <xdr:colOff>183986</xdr:colOff>
      <xdr:row>214</xdr:row>
      <xdr:rowOff>13110</xdr:rowOff>
    </xdr:from>
    <xdr:to>
      <xdr:col>35</xdr:col>
      <xdr:colOff>497430</xdr:colOff>
      <xdr:row>216</xdr:row>
      <xdr:rowOff>386715</xdr:rowOff>
    </xdr:to>
    <xdr:graphicFrame macro="">
      <xdr:nvGraphicFramePr>
        <xdr:cNvPr id="54" name="Chart 5">
          <a:extLst>
            <a:ext uri="{FF2B5EF4-FFF2-40B4-BE49-F238E27FC236}">
              <a16:creationId xmlns:a16="http://schemas.microsoft.com/office/drawing/2014/main" id="{DA1D5FD1-1026-45ED-B44C-006A4A11D004}"/>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4"/>
        </a:graphicData>
      </a:graphic>
    </xdr:graphicFrame>
    <xdr:clientData/>
  </xdr:twoCellAnchor>
  <xdr:twoCellAnchor>
    <xdr:from>
      <xdr:col>29</xdr:col>
      <xdr:colOff>227928</xdr:colOff>
      <xdr:row>251</xdr:row>
      <xdr:rowOff>312965</xdr:rowOff>
    </xdr:from>
    <xdr:to>
      <xdr:col>35</xdr:col>
      <xdr:colOff>590886</xdr:colOff>
      <xdr:row>258</xdr:row>
      <xdr:rowOff>643</xdr:rowOff>
    </xdr:to>
    <xdr:graphicFrame macro="">
      <xdr:nvGraphicFramePr>
        <xdr:cNvPr id="55" name="Chart 5">
          <a:extLst>
            <a:ext uri="{FF2B5EF4-FFF2-40B4-BE49-F238E27FC236}">
              <a16:creationId xmlns:a16="http://schemas.microsoft.com/office/drawing/2014/main" id="{1E39836F-3085-4C61-ADDD-0979479DC2F4}"/>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twoCellAnchor>
    <xdr:from>
      <xdr:col>29</xdr:col>
      <xdr:colOff>249828</xdr:colOff>
      <xdr:row>258</xdr:row>
      <xdr:rowOff>163285</xdr:rowOff>
    </xdr:from>
    <xdr:to>
      <xdr:col>35</xdr:col>
      <xdr:colOff>596811</xdr:colOff>
      <xdr:row>260</xdr:row>
      <xdr:rowOff>426450</xdr:rowOff>
    </xdr:to>
    <xdr:graphicFrame macro="">
      <xdr:nvGraphicFramePr>
        <xdr:cNvPr id="56" name="Chart 5">
          <a:extLst>
            <a:ext uri="{FF2B5EF4-FFF2-40B4-BE49-F238E27FC236}">
              <a16:creationId xmlns:a16="http://schemas.microsoft.com/office/drawing/2014/main" id="{CC13D150-E3E7-427B-8656-0B700447D0ED}"/>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6"/>
        </a:graphicData>
      </a:graphic>
    </xdr:graphicFrame>
    <xdr:clientData/>
  </xdr:twoCellAnchor>
  <xdr:twoCellAnchor>
    <xdr:from>
      <xdr:col>29</xdr:col>
      <xdr:colOff>289560</xdr:colOff>
      <xdr:row>264</xdr:row>
      <xdr:rowOff>0</xdr:rowOff>
    </xdr:from>
    <xdr:to>
      <xdr:col>36</xdr:col>
      <xdr:colOff>0</xdr:colOff>
      <xdr:row>266</xdr:row>
      <xdr:rowOff>391886</xdr:rowOff>
    </xdr:to>
    <xdr:graphicFrame macro="">
      <xdr:nvGraphicFramePr>
        <xdr:cNvPr id="57" name="Chart 5">
          <a:extLst>
            <a:ext uri="{FF2B5EF4-FFF2-40B4-BE49-F238E27FC236}">
              <a16:creationId xmlns:a16="http://schemas.microsoft.com/office/drawing/2014/main" id="{BDAEF1BF-9B33-4809-AB4E-C7BECA61787A}"/>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7"/>
        </a:graphicData>
      </a:graphic>
    </xdr:graphicFrame>
    <xdr:clientData/>
  </xdr:twoCellAnchor>
  <xdr:twoCellAnchor>
    <xdr:from>
      <xdr:col>29</xdr:col>
      <xdr:colOff>289560</xdr:colOff>
      <xdr:row>267</xdr:row>
      <xdr:rowOff>0</xdr:rowOff>
    </xdr:from>
    <xdr:to>
      <xdr:col>36</xdr:col>
      <xdr:colOff>0</xdr:colOff>
      <xdr:row>269</xdr:row>
      <xdr:rowOff>391886</xdr:rowOff>
    </xdr:to>
    <xdr:graphicFrame macro="">
      <xdr:nvGraphicFramePr>
        <xdr:cNvPr id="58" name="Chart 57">
          <a:extLst>
            <a:ext uri="{FF2B5EF4-FFF2-40B4-BE49-F238E27FC236}">
              <a16:creationId xmlns:a16="http://schemas.microsoft.com/office/drawing/2014/main" id="{6A38FE63-C966-4492-88AB-6E732732C73C}"/>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8"/>
        </a:graphicData>
      </a:graphic>
    </xdr:graphicFrame>
    <xdr:clientData/>
  </xdr:twoCellAnchor>
  <xdr:twoCellAnchor>
    <xdr:from>
      <xdr:col>29</xdr:col>
      <xdr:colOff>286870</xdr:colOff>
      <xdr:row>269</xdr:row>
      <xdr:rowOff>466165</xdr:rowOff>
    </xdr:from>
    <xdr:to>
      <xdr:col>35</xdr:col>
      <xdr:colOff>633804</xdr:colOff>
      <xdr:row>270</xdr:row>
      <xdr:rowOff>0</xdr:rowOff>
    </xdr:to>
    <xdr:graphicFrame macro="">
      <xdr:nvGraphicFramePr>
        <xdr:cNvPr id="59" name="Chart 5">
          <a:extLst>
            <a:ext uri="{FF2B5EF4-FFF2-40B4-BE49-F238E27FC236}">
              <a16:creationId xmlns:a16="http://schemas.microsoft.com/office/drawing/2014/main" id="{141F3664-0CE5-4FA8-944E-4AA272A46CAB}"/>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9"/>
        </a:graphicData>
      </a:graphic>
    </xdr:graphicFrame>
    <xdr:clientData/>
  </xdr:twoCellAnchor>
  <xdr:twoCellAnchor>
    <xdr:from>
      <xdr:col>29</xdr:col>
      <xdr:colOff>272143</xdr:colOff>
      <xdr:row>261</xdr:row>
      <xdr:rowOff>0</xdr:rowOff>
    </xdr:from>
    <xdr:to>
      <xdr:col>35</xdr:col>
      <xdr:colOff>624841</xdr:colOff>
      <xdr:row>263</xdr:row>
      <xdr:rowOff>391887</xdr:rowOff>
    </xdr:to>
    <xdr:graphicFrame macro="">
      <xdr:nvGraphicFramePr>
        <xdr:cNvPr id="60" name="Chart 5">
          <a:extLst>
            <a:ext uri="{FF2B5EF4-FFF2-40B4-BE49-F238E27FC236}">
              <a16:creationId xmlns:a16="http://schemas.microsoft.com/office/drawing/2014/main" id="{340BD91D-AC3B-4E0B-86D4-A6BDDE081B2C}"/>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0"/>
        </a:graphicData>
      </a:graphic>
    </xdr:graphicFrame>
    <xdr:clientData/>
  </xdr:twoCellAnchor>
  <xdr:twoCellAnchor>
    <xdr:from>
      <xdr:col>29</xdr:col>
      <xdr:colOff>227928</xdr:colOff>
      <xdr:row>2</xdr:row>
      <xdr:rowOff>312965</xdr:rowOff>
    </xdr:from>
    <xdr:to>
      <xdr:col>35</xdr:col>
      <xdr:colOff>590886</xdr:colOff>
      <xdr:row>6</xdr:row>
      <xdr:rowOff>643</xdr:rowOff>
    </xdr:to>
    <xdr:graphicFrame macro="">
      <xdr:nvGraphicFramePr>
        <xdr:cNvPr id="38" name="Chart 5">
          <a:extLst>
            <a:ext uri="{FF2B5EF4-FFF2-40B4-BE49-F238E27FC236}">
              <a16:creationId xmlns:a16="http://schemas.microsoft.com/office/drawing/2014/main" id="{9AA1E47E-C529-4B38-966E-33F8CA5B3CD2}"/>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1"/>
        </a:graphicData>
      </a:graphic>
    </xdr:graphicFrame>
    <xdr:clientData/>
  </xdr:twoCellAnchor>
  <xdr:twoCellAnchor>
    <xdr:from>
      <xdr:col>29</xdr:col>
      <xdr:colOff>249828</xdr:colOff>
      <xdr:row>6</xdr:row>
      <xdr:rowOff>163285</xdr:rowOff>
    </xdr:from>
    <xdr:to>
      <xdr:col>35</xdr:col>
      <xdr:colOff>596811</xdr:colOff>
      <xdr:row>8</xdr:row>
      <xdr:rowOff>426450</xdr:rowOff>
    </xdr:to>
    <xdr:graphicFrame macro="">
      <xdr:nvGraphicFramePr>
        <xdr:cNvPr id="45" name="Chart 5">
          <a:extLst>
            <a:ext uri="{FF2B5EF4-FFF2-40B4-BE49-F238E27FC236}">
              <a16:creationId xmlns:a16="http://schemas.microsoft.com/office/drawing/2014/main" id="{BF6DB9E9-7AA3-497E-BB29-3C3AB148536E}"/>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2"/>
        </a:graphicData>
      </a:graphic>
    </xdr:graphicFrame>
    <xdr:clientData/>
  </xdr:twoCellAnchor>
  <xdr:twoCellAnchor>
    <xdr:from>
      <xdr:col>29</xdr:col>
      <xdr:colOff>289560</xdr:colOff>
      <xdr:row>12</xdr:row>
      <xdr:rowOff>0</xdr:rowOff>
    </xdr:from>
    <xdr:to>
      <xdr:col>36</xdr:col>
      <xdr:colOff>0</xdr:colOff>
      <xdr:row>14</xdr:row>
      <xdr:rowOff>391886</xdr:rowOff>
    </xdr:to>
    <xdr:graphicFrame macro="">
      <xdr:nvGraphicFramePr>
        <xdr:cNvPr id="46" name="Chart 5">
          <a:extLst>
            <a:ext uri="{FF2B5EF4-FFF2-40B4-BE49-F238E27FC236}">
              <a16:creationId xmlns:a16="http://schemas.microsoft.com/office/drawing/2014/main" id="{9095EA28-8696-4AA0-9B45-A3E10DD591AC}"/>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3"/>
        </a:graphicData>
      </a:graphic>
    </xdr:graphicFrame>
    <xdr:clientData/>
  </xdr:twoCellAnchor>
  <xdr:twoCellAnchor>
    <xdr:from>
      <xdr:col>29</xdr:col>
      <xdr:colOff>289560</xdr:colOff>
      <xdr:row>15</xdr:row>
      <xdr:rowOff>0</xdr:rowOff>
    </xdr:from>
    <xdr:to>
      <xdr:col>36</xdr:col>
      <xdr:colOff>0</xdr:colOff>
      <xdr:row>17</xdr:row>
      <xdr:rowOff>391886</xdr:rowOff>
    </xdr:to>
    <xdr:graphicFrame macro="">
      <xdr:nvGraphicFramePr>
        <xdr:cNvPr id="61" name="Chart 60">
          <a:extLst>
            <a:ext uri="{FF2B5EF4-FFF2-40B4-BE49-F238E27FC236}">
              <a16:creationId xmlns:a16="http://schemas.microsoft.com/office/drawing/2014/main" id="{EAFC9112-72B6-4A7E-926E-A2FED3195164}"/>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4"/>
        </a:graphicData>
      </a:graphic>
    </xdr:graphicFrame>
    <xdr:clientData/>
  </xdr:twoCellAnchor>
  <xdr:twoCellAnchor>
    <xdr:from>
      <xdr:col>29</xdr:col>
      <xdr:colOff>286870</xdr:colOff>
      <xdr:row>17</xdr:row>
      <xdr:rowOff>466165</xdr:rowOff>
    </xdr:from>
    <xdr:to>
      <xdr:col>35</xdr:col>
      <xdr:colOff>633804</xdr:colOff>
      <xdr:row>18</xdr:row>
      <xdr:rowOff>0</xdr:rowOff>
    </xdr:to>
    <xdr:graphicFrame macro="">
      <xdr:nvGraphicFramePr>
        <xdr:cNvPr id="62" name="Chart 5">
          <a:extLst>
            <a:ext uri="{FF2B5EF4-FFF2-40B4-BE49-F238E27FC236}">
              <a16:creationId xmlns:a16="http://schemas.microsoft.com/office/drawing/2014/main" id="{9768FDFC-409E-4DD3-BFE7-3F01BBF25656}"/>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5"/>
        </a:graphicData>
      </a:graphic>
    </xdr:graphicFrame>
    <xdr:clientData/>
  </xdr:twoCellAnchor>
  <xdr:twoCellAnchor>
    <xdr:from>
      <xdr:col>29</xdr:col>
      <xdr:colOff>272143</xdr:colOff>
      <xdr:row>9</xdr:row>
      <xdr:rowOff>0</xdr:rowOff>
    </xdr:from>
    <xdr:to>
      <xdr:col>35</xdr:col>
      <xdr:colOff>624841</xdr:colOff>
      <xdr:row>11</xdr:row>
      <xdr:rowOff>391887</xdr:rowOff>
    </xdr:to>
    <xdr:graphicFrame macro="">
      <xdr:nvGraphicFramePr>
        <xdr:cNvPr id="63" name="Chart 5">
          <a:extLst>
            <a:ext uri="{FF2B5EF4-FFF2-40B4-BE49-F238E27FC236}">
              <a16:creationId xmlns:a16="http://schemas.microsoft.com/office/drawing/2014/main" id="{08D0CEA3-6F2E-450B-A589-936641C951D8}"/>
            </a:ext>
            <a:ext uri="{147F2762-F138-4A5C-976F-8EAC2B608ADB}">
              <a16:predDERef xmlns:a16="http://schemas.microsoft.com/office/drawing/2014/main" pred="{DBBB3571-9962-4A3F-82BD-C5E3630824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6"/>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24</xdr:col>
      <xdr:colOff>22858</xdr:colOff>
      <xdr:row>0</xdr:row>
      <xdr:rowOff>0</xdr:rowOff>
    </xdr:from>
    <xdr:to>
      <xdr:col>39</xdr:col>
      <xdr:colOff>469445</xdr:colOff>
      <xdr:row>18</xdr:row>
      <xdr:rowOff>69940</xdr:rowOff>
    </xdr:to>
    <xdr:graphicFrame macro="">
      <xdr:nvGraphicFramePr>
        <xdr:cNvPr id="2" name="Chart 1">
          <a:extLst>
            <a:ext uri="{FF2B5EF4-FFF2-40B4-BE49-F238E27FC236}">
              <a16:creationId xmlns:a16="http://schemas.microsoft.com/office/drawing/2014/main" id="{BD5E8B3E-C2A1-4226-A246-D8C35FD186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24</xdr:col>
      <xdr:colOff>0</xdr:colOff>
      <xdr:row>19</xdr:row>
      <xdr:rowOff>56606</xdr:rowOff>
    </xdr:from>
    <xdr:to>
      <xdr:col>39</xdr:col>
      <xdr:colOff>383426</xdr:colOff>
      <xdr:row>48</xdr:row>
      <xdr:rowOff>59051</xdr:rowOff>
    </xdr:to>
    <xdr:graphicFrame macro="">
      <xdr:nvGraphicFramePr>
        <xdr:cNvPr id="3" name="Chart 5">
          <a:extLst>
            <a:ext uri="{FF2B5EF4-FFF2-40B4-BE49-F238E27FC236}">
              <a16:creationId xmlns:a16="http://schemas.microsoft.com/office/drawing/2014/main" id="{640A21FB-3DD5-4DE4-A573-D114733573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35718</xdr:colOff>
      <xdr:row>18</xdr:row>
      <xdr:rowOff>238126</xdr:rowOff>
    </xdr:from>
    <xdr:to>
      <xdr:col>10</xdr:col>
      <xdr:colOff>468426</xdr:colOff>
      <xdr:row>67</xdr:row>
      <xdr:rowOff>16399</xdr:rowOff>
    </xdr:to>
    <xdr:pic>
      <xdr:nvPicPr>
        <xdr:cNvPr id="4" name="Picture 3">
          <a:extLst>
            <a:ext uri="{FF2B5EF4-FFF2-40B4-BE49-F238E27FC236}">
              <a16:creationId xmlns:a16="http://schemas.microsoft.com/office/drawing/2014/main" id="{E5C6602F-DEFF-5439-941E-35A0D03F2B9B}"/>
            </a:ext>
          </a:extLst>
        </xdr:cNvPr>
        <xdr:cNvPicPr>
          <a:picLocks noChangeAspect="1"/>
        </xdr:cNvPicPr>
      </xdr:nvPicPr>
      <xdr:blipFill>
        <a:blip xmlns:r="http://schemas.openxmlformats.org/officeDocument/2006/relationships" r:embed="rId3"/>
        <a:stretch>
          <a:fillRect/>
        </a:stretch>
      </xdr:blipFill>
      <xdr:spPr>
        <a:xfrm>
          <a:off x="1012031" y="4964907"/>
          <a:ext cx="10831626" cy="786261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628944</xdr:colOff>
      <xdr:row>36</xdr:row>
      <xdr:rowOff>62865</xdr:rowOff>
    </xdr:from>
    <xdr:to>
      <xdr:col>1</xdr:col>
      <xdr:colOff>2954394</xdr:colOff>
      <xdr:row>36</xdr:row>
      <xdr:rowOff>1422892</xdr:rowOff>
    </xdr:to>
    <xdr:pic>
      <xdr:nvPicPr>
        <xdr:cNvPr id="4" name="Picture 3">
          <a:extLst>
            <a:ext uri="{FF2B5EF4-FFF2-40B4-BE49-F238E27FC236}">
              <a16:creationId xmlns:a16="http://schemas.microsoft.com/office/drawing/2014/main" id="{456D4EE9-8F9D-4973-B230-5C69338447A9}"/>
            </a:ext>
          </a:extLst>
        </xdr:cNvPr>
        <xdr:cNvPicPr>
          <a:picLocks noChangeAspect="1"/>
        </xdr:cNvPicPr>
      </xdr:nvPicPr>
      <xdr:blipFill rotWithShape="1">
        <a:blip xmlns:r="http://schemas.openxmlformats.org/officeDocument/2006/relationships" r:embed="rId1"/>
        <a:srcRect t="6657"/>
        <a:stretch>
          <a:fillRect/>
        </a:stretch>
      </xdr:blipFill>
      <xdr:spPr>
        <a:xfrm>
          <a:off x="2514894" y="9740265"/>
          <a:ext cx="2325450" cy="1360027"/>
        </a:xfrm>
        <a:prstGeom prst="rect">
          <a:avLst/>
        </a:prstGeom>
      </xdr:spPr>
    </xdr:pic>
    <xdr:clientData/>
  </xdr:twoCellAnchor>
  <xdr:twoCellAnchor>
    <xdr:from>
      <xdr:col>2</xdr:col>
      <xdr:colOff>120126</xdr:colOff>
      <xdr:row>36</xdr:row>
      <xdr:rowOff>54683</xdr:rowOff>
    </xdr:from>
    <xdr:to>
      <xdr:col>2</xdr:col>
      <xdr:colOff>2750819</xdr:colOff>
      <xdr:row>36</xdr:row>
      <xdr:rowOff>1423060</xdr:rowOff>
    </xdr:to>
    <xdr:pic>
      <xdr:nvPicPr>
        <xdr:cNvPr id="5" name="Picture 5" descr="largehotel_whole.jpg">
          <a:extLst>
            <a:ext uri="{FF2B5EF4-FFF2-40B4-BE49-F238E27FC236}">
              <a16:creationId xmlns:a16="http://schemas.microsoft.com/office/drawing/2014/main" id="{5D234E02-2F7D-481E-9D16-054CAB48E2A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l="22639" t="22484" r="16667" b="27058"/>
        <a:stretch>
          <a:fillRect/>
        </a:stretch>
      </xdr:blipFill>
      <xdr:spPr bwMode="auto">
        <a:xfrm>
          <a:off x="5476986" y="9572063"/>
          <a:ext cx="2630693" cy="136837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554183</xdr:colOff>
      <xdr:row>6</xdr:row>
      <xdr:rowOff>83128</xdr:rowOff>
    </xdr:from>
    <xdr:to>
      <xdr:col>1</xdr:col>
      <xdr:colOff>2761075</xdr:colOff>
      <xdr:row>6</xdr:row>
      <xdr:rowOff>1468581</xdr:rowOff>
    </xdr:to>
    <xdr:pic>
      <xdr:nvPicPr>
        <xdr:cNvPr id="7" name="Picture 6">
          <a:extLst>
            <a:ext uri="{FF2B5EF4-FFF2-40B4-BE49-F238E27FC236}">
              <a16:creationId xmlns:a16="http://schemas.microsoft.com/office/drawing/2014/main" id="{92280E9E-2FC9-905B-C213-21981272D609}"/>
            </a:ext>
          </a:extLst>
        </xdr:cNvPr>
        <xdr:cNvPicPr>
          <a:picLocks noChangeAspect="1"/>
        </xdr:cNvPicPr>
      </xdr:nvPicPr>
      <xdr:blipFill>
        <a:blip xmlns:r="http://schemas.openxmlformats.org/officeDocument/2006/relationships" r:embed="rId3"/>
        <a:stretch>
          <a:fillRect/>
        </a:stretch>
      </xdr:blipFill>
      <xdr:spPr>
        <a:xfrm>
          <a:off x="2438401" y="1773383"/>
          <a:ext cx="2206892" cy="138545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13</xdr:col>
      <xdr:colOff>1282561</xdr:colOff>
      <xdr:row>0</xdr:row>
      <xdr:rowOff>35035</xdr:rowOff>
    </xdr:from>
    <xdr:to>
      <xdr:col>13</xdr:col>
      <xdr:colOff>1282561</xdr:colOff>
      <xdr:row>0</xdr:row>
      <xdr:rowOff>321779</xdr:rowOff>
    </xdr:to>
    <xdr:cxnSp macro="">
      <xdr:nvCxnSpPr>
        <xdr:cNvPr id="4" name="Straight Arrow Connector 3">
          <a:extLst>
            <a:ext uri="{FF2B5EF4-FFF2-40B4-BE49-F238E27FC236}">
              <a16:creationId xmlns:a16="http://schemas.microsoft.com/office/drawing/2014/main" id="{BB0EC946-BDB6-09C9-DB60-21B21720AE71}"/>
            </a:ext>
          </a:extLst>
        </xdr:cNvPr>
        <xdr:cNvCxnSpPr/>
      </xdr:nvCxnSpPr>
      <xdr:spPr>
        <a:xfrm flipV="1">
          <a:off x="12000257" y="35035"/>
          <a:ext cx="0" cy="286744"/>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1325218</xdr:colOff>
      <xdr:row>0</xdr:row>
      <xdr:rowOff>67505</xdr:rowOff>
    </xdr:from>
    <xdr:to>
      <xdr:col>13</xdr:col>
      <xdr:colOff>1565412</xdr:colOff>
      <xdr:row>1</xdr:row>
      <xdr:rowOff>103203</xdr:rowOff>
    </xdr:to>
    <xdr:sp macro="" textlink="">
      <xdr:nvSpPr>
        <xdr:cNvPr id="8" name="TextBox 7">
          <a:extLst>
            <a:ext uri="{FF2B5EF4-FFF2-40B4-BE49-F238E27FC236}">
              <a16:creationId xmlns:a16="http://schemas.microsoft.com/office/drawing/2014/main" id="{1DDDC35D-79DC-FE8D-E36B-A215903DCB00}"/>
            </a:ext>
          </a:extLst>
        </xdr:cNvPr>
        <xdr:cNvSpPr txBox="1"/>
      </xdr:nvSpPr>
      <xdr:spPr>
        <a:xfrm>
          <a:off x="13855148" y="67505"/>
          <a:ext cx="240194" cy="3603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tx1"/>
              </a:solidFill>
            </a:rPr>
            <a:t>N</a:t>
          </a:r>
        </a:p>
      </xdr:txBody>
    </xdr:sp>
    <xdr:clientData/>
  </xdr:twoCellAnchor>
  <xdr:twoCellAnchor editAs="oneCell">
    <xdr:from>
      <xdr:col>12</xdr:col>
      <xdr:colOff>653815</xdr:colOff>
      <xdr:row>1</xdr:row>
      <xdr:rowOff>269461</xdr:rowOff>
    </xdr:from>
    <xdr:to>
      <xdr:col>15</xdr:col>
      <xdr:colOff>1124164</xdr:colOff>
      <xdr:row>6</xdr:row>
      <xdr:rowOff>39333</xdr:rowOff>
    </xdr:to>
    <xdr:pic>
      <xdr:nvPicPr>
        <xdr:cNvPr id="2" name="Picture 7" descr="largehotel.jpg">
          <a:extLst>
            <a:ext uri="{FF2B5EF4-FFF2-40B4-BE49-F238E27FC236}">
              <a16:creationId xmlns:a16="http://schemas.microsoft.com/office/drawing/2014/main" id="{967A4E6C-D9B7-4445-8A8F-94190105E55A}"/>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36485" t="43413" r="35214" b="40654"/>
        <a:stretch/>
      </xdr:blipFill>
      <xdr:spPr bwMode="auto">
        <a:xfrm>
          <a:off x="14716568" y="590528"/>
          <a:ext cx="5009281" cy="200059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12754</xdr:colOff>
      <xdr:row>141</xdr:row>
      <xdr:rowOff>68515</xdr:rowOff>
    </xdr:from>
    <xdr:to>
      <xdr:col>3</xdr:col>
      <xdr:colOff>2492402</xdr:colOff>
      <xdr:row>148</xdr:row>
      <xdr:rowOff>132341</xdr:rowOff>
    </xdr:to>
    <xdr:pic>
      <xdr:nvPicPr>
        <xdr:cNvPr id="2" name="Picture 1">
          <a:extLst>
            <a:ext uri="{FF2B5EF4-FFF2-40B4-BE49-F238E27FC236}">
              <a16:creationId xmlns:a16="http://schemas.microsoft.com/office/drawing/2014/main" id="{C90EB702-1541-770D-3A1B-72249F7F308E}"/>
            </a:ext>
          </a:extLst>
        </xdr:cNvPr>
        <xdr:cNvPicPr>
          <a:picLocks noChangeAspect="1"/>
        </xdr:cNvPicPr>
      </xdr:nvPicPr>
      <xdr:blipFill>
        <a:blip xmlns:r="http://schemas.openxmlformats.org/officeDocument/2006/relationships" r:embed="rId1"/>
        <a:stretch>
          <a:fillRect/>
        </a:stretch>
      </xdr:blipFill>
      <xdr:spPr>
        <a:xfrm>
          <a:off x="12754" y="28991385"/>
          <a:ext cx="5783166" cy="1335290"/>
        </a:xfrm>
        <a:prstGeom prst="rect">
          <a:avLst/>
        </a:prstGeom>
      </xdr:spPr>
    </xdr:pic>
    <xdr:clientData/>
  </xdr:twoCellAnchor>
  <xdr:twoCellAnchor>
    <xdr:from>
      <xdr:col>0</xdr:col>
      <xdr:colOff>175862</xdr:colOff>
      <xdr:row>150</xdr:row>
      <xdr:rowOff>12650</xdr:rowOff>
    </xdr:from>
    <xdr:to>
      <xdr:col>3</xdr:col>
      <xdr:colOff>2483185</xdr:colOff>
      <xdr:row>163</xdr:row>
      <xdr:rowOff>30169</xdr:rowOff>
    </xdr:to>
    <xdr:pic>
      <xdr:nvPicPr>
        <xdr:cNvPr id="3" name="Picture 2">
          <a:extLst>
            <a:ext uri="{FF2B5EF4-FFF2-40B4-BE49-F238E27FC236}">
              <a16:creationId xmlns:a16="http://schemas.microsoft.com/office/drawing/2014/main" id="{20FC777B-7CE0-381A-86DA-773438666693}"/>
            </a:ext>
            <a:ext uri="{147F2762-F138-4A5C-976F-8EAC2B608ADB}">
              <a16:predDERef xmlns:a16="http://schemas.microsoft.com/office/drawing/2014/main" pred="{C90EB702-1541-770D-3A1B-72249F7F308E}"/>
            </a:ext>
          </a:extLst>
        </xdr:cNvPr>
        <xdr:cNvPicPr>
          <a:picLocks noChangeAspect="1"/>
        </xdr:cNvPicPr>
      </xdr:nvPicPr>
      <xdr:blipFill>
        <a:blip xmlns:r="http://schemas.openxmlformats.org/officeDocument/2006/relationships" r:embed="rId2"/>
        <a:stretch>
          <a:fillRect/>
        </a:stretch>
      </xdr:blipFill>
      <xdr:spPr>
        <a:xfrm>
          <a:off x="175862" y="30214744"/>
          <a:ext cx="5624264" cy="234834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51</xdr:row>
      <xdr:rowOff>115646</xdr:rowOff>
    </xdr:from>
    <xdr:to>
      <xdr:col>3</xdr:col>
      <xdr:colOff>575925</xdr:colOff>
      <xdr:row>59</xdr:row>
      <xdr:rowOff>257736</xdr:rowOff>
    </xdr:to>
    <xdr:pic>
      <xdr:nvPicPr>
        <xdr:cNvPr id="3" name="Picture 2">
          <a:extLst>
            <a:ext uri="{FF2B5EF4-FFF2-40B4-BE49-F238E27FC236}">
              <a16:creationId xmlns:a16="http://schemas.microsoft.com/office/drawing/2014/main" id="{4AF87EB8-2E03-4719-A6B5-114739865C7D}"/>
            </a:ext>
            <a:ext uri="{147F2762-F138-4A5C-976F-8EAC2B608ADB}">
              <a16:predDERef xmlns:a16="http://schemas.microsoft.com/office/drawing/2014/main" pred="{1A6D8BC3-C567-3D5B-A9DC-8299F8FFABE6}"/>
            </a:ext>
          </a:extLst>
        </xdr:cNvPr>
        <xdr:cNvPicPr>
          <a:picLocks noChangeAspect="1"/>
        </xdr:cNvPicPr>
      </xdr:nvPicPr>
      <xdr:blipFill>
        <a:blip xmlns:r="http://schemas.openxmlformats.org/officeDocument/2006/relationships" r:embed="rId1"/>
        <a:stretch>
          <a:fillRect/>
        </a:stretch>
      </xdr:blipFill>
      <xdr:spPr>
        <a:xfrm>
          <a:off x="0" y="14705705"/>
          <a:ext cx="6313337" cy="1486796"/>
        </a:xfrm>
        <a:prstGeom prst="rect">
          <a:avLst/>
        </a:prstGeom>
      </xdr:spPr>
    </xdr:pic>
    <xdr:clientData/>
  </xdr:twoCellAnchor>
  <xdr:twoCellAnchor>
    <xdr:from>
      <xdr:col>0</xdr:col>
      <xdr:colOff>671486</xdr:colOff>
      <xdr:row>96</xdr:row>
      <xdr:rowOff>164472</xdr:rowOff>
    </xdr:from>
    <xdr:to>
      <xdr:col>2</xdr:col>
      <xdr:colOff>366686</xdr:colOff>
      <xdr:row>111</xdr:row>
      <xdr:rowOff>95073</xdr:rowOff>
    </xdr:to>
    <xdr:pic>
      <xdr:nvPicPr>
        <xdr:cNvPr id="2" name="Picture 1">
          <a:extLst>
            <a:ext uri="{FF2B5EF4-FFF2-40B4-BE49-F238E27FC236}">
              <a16:creationId xmlns:a16="http://schemas.microsoft.com/office/drawing/2014/main" id="{8AA1C8D5-4AAD-0241-CB7D-E62A53B704D3}"/>
            </a:ext>
          </a:extLst>
        </xdr:cNvPr>
        <xdr:cNvPicPr>
          <a:picLocks noChangeAspect="1"/>
        </xdr:cNvPicPr>
      </xdr:nvPicPr>
      <xdr:blipFill>
        <a:blip xmlns:r="http://schemas.openxmlformats.org/officeDocument/2006/relationships" r:embed="rId2"/>
        <a:stretch>
          <a:fillRect/>
        </a:stretch>
      </xdr:blipFill>
      <xdr:spPr>
        <a:xfrm>
          <a:off x="671486" y="24626913"/>
          <a:ext cx="3415553" cy="2541572"/>
        </a:xfrm>
        <a:prstGeom prst="rect">
          <a:avLst/>
        </a:prstGeom>
      </xdr:spPr>
    </xdr:pic>
    <xdr:clientData/>
  </xdr:twoCellAnchor>
  <xdr:twoCellAnchor>
    <xdr:from>
      <xdr:col>2</xdr:col>
      <xdr:colOff>344210</xdr:colOff>
      <xdr:row>96</xdr:row>
      <xdr:rowOff>47960</xdr:rowOff>
    </xdr:from>
    <xdr:to>
      <xdr:col>4</xdr:col>
      <xdr:colOff>57029</xdr:colOff>
      <xdr:row>119</xdr:row>
      <xdr:rowOff>158956</xdr:rowOff>
    </xdr:to>
    <xdr:pic>
      <xdr:nvPicPr>
        <xdr:cNvPr id="4" name="Picture 3">
          <a:extLst>
            <a:ext uri="{FF2B5EF4-FFF2-40B4-BE49-F238E27FC236}">
              <a16:creationId xmlns:a16="http://schemas.microsoft.com/office/drawing/2014/main" id="{DCDEBFDC-4317-D881-D6E2-CF76005885ED}"/>
            </a:ext>
          </a:extLst>
        </xdr:cNvPr>
        <xdr:cNvPicPr>
          <a:picLocks noChangeAspect="1"/>
        </xdr:cNvPicPr>
      </xdr:nvPicPr>
      <xdr:blipFill rotWithShape="1">
        <a:blip xmlns:r="http://schemas.openxmlformats.org/officeDocument/2006/relationships" r:embed="rId3"/>
        <a:srcRect r="23399"/>
        <a:stretch>
          <a:fillRect/>
        </a:stretch>
      </xdr:blipFill>
      <xdr:spPr>
        <a:xfrm>
          <a:off x="4019739" y="19882372"/>
          <a:ext cx="2895290" cy="4066672"/>
        </a:xfrm>
        <a:prstGeom prst="rect">
          <a:avLst/>
        </a:prstGeom>
      </xdr:spPr>
    </xdr:pic>
    <xdr:clientData/>
  </xdr:twoCellAnchor>
  <xdr:twoCellAnchor>
    <xdr:from>
      <xdr:col>4</xdr:col>
      <xdr:colOff>321095</xdr:colOff>
      <xdr:row>96</xdr:row>
      <xdr:rowOff>139353</xdr:rowOff>
    </xdr:from>
    <xdr:to>
      <xdr:col>5</xdr:col>
      <xdr:colOff>2515767</xdr:colOff>
      <xdr:row>110</xdr:row>
      <xdr:rowOff>18064</xdr:rowOff>
    </xdr:to>
    <xdr:pic>
      <xdr:nvPicPr>
        <xdr:cNvPr id="5" name="Picture 4">
          <a:extLst>
            <a:ext uri="{FF2B5EF4-FFF2-40B4-BE49-F238E27FC236}">
              <a16:creationId xmlns:a16="http://schemas.microsoft.com/office/drawing/2014/main" id="{1A22FD62-8664-D821-9E5E-036A5AE3B4E9}"/>
            </a:ext>
          </a:extLst>
        </xdr:cNvPr>
        <xdr:cNvPicPr>
          <a:picLocks noChangeAspect="1"/>
        </xdr:cNvPicPr>
      </xdr:nvPicPr>
      <xdr:blipFill>
        <a:blip xmlns:r="http://schemas.openxmlformats.org/officeDocument/2006/relationships" r:embed="rId4"/>
        <a:stretch>
          <a:fillRect/>
        </a:stretch>
      </xdr:blipFill>
      <xdr:spPr>
        <a:xfrm>
          <a:off x="7179095" y="19973765"/>
          <a:ext cx="3886760" cy="2321593"/>
        </a:xfrm>
        <a:prstGeom prst="rect">
          <a:avLst/>
        </a:prstGeom>
      </xdr:spPr>
    </xdr:pic>
    <xdr:clientData/>
  </xdr:twoCellAnchor>
  <xdr:twoCellAnchor>
    <xdr:from>
      <xdr:col>3</xdr:col>
      <xdr:colOff>104478</xdr:colOff>
      <xdr:row>171</xdr:row>
      <xdr:rowOff>123502</xdr:rowOff>
    </xdr:from>
    <xdr:to>
      <xdr:col>5</xdr:col>
      <xdr:colOff>1864460</xdr:colOff>
      <xdr:row>185</xdr:row>
      <xdr:rowOff>49560</xdr:rowOff>
    </xdr:to>
    <xdr:pic>
      <xdr:nvPicPr>
        <xdr:cNvPr id="6" name="Picture 5">
          <a:extLst>
            <a:ext uri="{FF2B5EF4-FFF2-40B4-BE49-F238E27FC236}">
              <a16:creationId xmlns:a16="http://schemas.microsoft.com/office/drawing/2014/main" id="{B3848705-BE59-FDB8-58FF-F278FA9F66A1}"/>
            </a:ext>
          </a:extLst>
        </xdr:cNvPr>
        <xdr:cNvPicPr>
          <a:picLocks noChangeAspect="1"/>
        </xdr:cNvPicPr>
      </xdr:nvPicPr>
      <xdr:blipFill>
        <a:blip xmlns:r="http://schemas.openxmlformats.org/officeDocument/2006/relationships" r:embed="rId5"/>
        <a:stretch>
          <a:fillRect/>
        </a:stretch>
      </xdr:blipFill>
      <xdr:spPr>
        <a:xfrm>
          <a:off x="104478" y="37282208"/>
          <a:ext cx="5480335" cy="2279293"/>
        </a:xfrm>
        <a:prstGeom prst="rect">
          <a:avLst/>
        </a:prstGeom>
      </xdr:spPr>
    </xdr:pic>
    <xdr:clientData/>
  </xdr:twoCellAnchor>
  <xdr:twoCellAnchor>
    <xdr:from>
      <xdr:col>6</xdr:col>
      <xdr:colOff>204034</xdr:colOff>
      <xdr:row>156</xdr:row>
      <xdr:rowOff>47304</xdr:rowOff>
    </xdr:from>
    <xdr:to>
      <xdr:col>8</xdr:col>
      <xdr:colOff>1872068</xdr:colOff>
      <xdr:row>184</xdr:row>
      <xdr:rowOff>115345</xdr:rowOff>
    </xdr:to>
    <xdr:pic>
      <xdr:nvPicPr>
        <xdr:cNvPr id="7" name="Picture 6">
          <a:extLst>
            <a:ext uri="{FF2B5EF4-FFF2-40B4-BE49-F238E27FC236}">
              <a16:creationId xmlns:a16="http://schemas.microsoft.com/office/drawing/2014/main" id="{42AA1A3E-4D2C-F86F-DF08-5D8B041A4951}"/>
            </a:ext>
          </a:extLst>
        </xdr:cNvPr>
        <xdr:cNvPicPr>
          <a:picLocks noChangeAspect="1"/>
        </xdr:cNvPicPr>
      </xdr:nvPicPr>
      <xdr:blipFill>
        <a:blip xmlns:r="http://schemas.openxmlformats.org/officeDocument/2006/relationships" r:embed="rId6"/>
        <a:stretch>
          <a:fillRect/>
        </a:stretch>
      </xdr:blipFill>
      <xdr:spPr>
        <a:xfrm>
          <a:off x="5941446" y="34684686"/>
          <a:ext cx="5623710" cy="4774512"/>
        </a:xfrm>
        <a:prstGeom prst="rect">
          <a:avLst/>
        </a:prstGeom>
      </xdr:spPr>
    </xdr:pic>
    <xdr:clientData/>
  </xdr:twoCellAnchor>
  <xdr:twoCellAnchor>
    <xdr:from>
      <xdr:col>9</xdr:col>
      <xdr:colOff>93870</xdr:colOff>
      <xdr:row>156</xdr:row>
      <xdr:rowOff>114202</xdr:rowOff>
    </xdr:from>
    <xdr:to>
      <xdr:col>13</xdr:col>
      <xdr:colOff>224117</xdr:colOff>
      <xdr:row>174</xdr:row>
      <xdr:rowOff>58377</xdr:rowOff>
    </xdr:to>
    <xdr:pic>
      <xdr:nvPicPr>
        <xdr:cNvPr id="10" name="Picture 9">
          <a:extLst>
            <a:ext uri="{FF2B5EF4-FFF2-40B4-BE49-F238E27FC236}">
              <a16:creationId xmlns:a16="http://schemas.microsoft.com/office/drawing/2014/main" id="{1AC53C6A-125D-4F9E-B351-BF7E3C8A574E}"/>
            </a:ext>
          </a:extLst>
        </xdr:cNvPr>
        <xdr:cNvPicPr>
          <a:picLocks noChangeAspect="1"/>
        </xdr:cNvPicPr>
      </xdr:nvPicPr>
      <xdr:blipFill>
        <a:blip xmlns:r="http://schemas.openxmlformats.org/officeDocument/2006/relationships" r:embed="rId7"/>
        <a:stretch>
          <a:fillRect/>
        </a:stretch>
      </xdr:blipFill>
      <xdr:spPr>
        <a:xfrm>
          <a:off x="20835958" y="38259026"/>
          <a:ext cx="3962659" cy="2969763"/>
        </a:xfrm>
        <a:prstGeom prst="rect">
          <a:avLst/>
        </a:prstGeom>
      </xdr:spPr>
    </xdr:pic>
    <xdr:clientData/>
  </xdr:twoCellAnchor>
  <xdr:twoCellAnchor>
    <xdr:from>
      <xdr:col>0</xdr:col>
      <xdr:colOff>68547</xdr:colOff>
      <xdr:row>123</xdr:row>
      <xdr:rowOff>131345</xdr:rowOff>
    </xdr:from>
    <xdr:to>
      <xdr:col>3</xdr:col>
      <xdr:colOff>666862</xdr:colOff>
      <xdr:row>149</xdr:row>
      <xdr:rowOff>77339</xdr:rowOff>
    </xdr:to>
    <xdr:pic>
      <xdr:nvPicPr>
        <xdr:cNvPr id="11" name="Picture 10">
          <a:extLst>
            <a:ext uri="{FF2B5EF4-FFF2-40B4-BE49-F238E27FC236}">
              <a16:creationId xmlns:a16="http://schemas.microsoft.com/office/drawing/2014/main" id="{78FAD77B-100E-C4E6-6D51-464BFE905DAB}"/>
            </a:ext>
          </a:extLst>
        </xdr:cNvPr>
        <xdr:cNvPicPr>
          <a:picLocks noChangeAspect="1"/>
        </xdr:cNvPicPr>
      </xdr:nvPicPr>
      <xdr:blipFill>
        <a:blip xmlns:r="http://schemas.openxmlformats.org/officeDocument/2006/relationships" r:embed="rId8"/>
        <a:stretch>
          <a:fillRect/>
        </a:stretch>
      </xdr:blipFill>
      <xdr:spPr>
        <a:xfrm>
          <a:off x="68547" y="29221816"/>
          <a:ext cx="6326202" cy="4278860"/>
        </a:xfrm>
        <a:prstGeom prst="rect">
          <a:avLst/>
        </a:prstGeom>
      </xdr:spPr>
    </xdr:pic>
    <xdr:clientData/>
  </xdr:twoCellAnchor>
  <xdr:twoCellAnchor>
    <xdr:from>
      <xdr:col>3</xdr:col>
      <xdr:colOff>1</xdr:colOff>
      <xdr:row>156</xdr:row>
      <xdr:rowOff>104630</xdr:rowOff>
    </xdr:from>
    <xdr:to>
      <xdr:col>5</xdr:col>
      <xdr:colOff>1998234</xdr:colOff>
      <xdr:row>170</xdr:row>
      <xdr:rowOff>128291</xdr:rowOff>
    </xdr:to>
    <xdr:pic>
      <xdr:nvPicPr>
        <xdr:cNvPr id="13" name="Picture 12">
          <a:extLst>
            <a:ext uri="{FF2B5EF4-FFF2-40B4-BE49-F238E27FC236}">
              <a16:creationId xmlns:a16="http://schemas.microsoft.com/office/drawing/2014/main" id="{C8C0339C-32F1-639E-D0A8-DF549E7F342E}"/>
            </a:ext>
          </a:extLst>
        </xdr:cNvPr>
        <xdr:cNvPicPr>
          <a:picLocks noChangeAspect="1"/>
        </xdr:cNvPicPr>
      </xdr:nvPicPr>
      <xdr:blipFill rotWithShape="1">
        <a:blip xmlns:r="http://schemas.openxmlformats.org/officeDocument/2006/relationships" r:embed="rId9"/>
        <a:srcRect r="2883"/>
        <a:stretch>
          <a:fillRect/>
        </a:stretch>
      </xdr:blipFill>
      <xdr:spPr>
        <a:xfrm>
          <a:off x="1" y="34742012"/>
          <a:ext cx="5726206" cy="2382612"/>
        </a:xfrm>
        <a:prstGeom prst="rect">
          <a:avLst/>
        </a:prstGeom>
      </xdr:spPr>
    </xdr:pic>
    <xdr:clientData/>
  </xdr:twoCellAnchor>
  <xdr:twoCellAnchor>
    <xdr:from>
      <xdr:col>3</xdr:col>
      <xdr:colOff>763905</xdr:colOff>
      <xdr:row>187</xdr:row>
      <xdr:rowOff>56029</xdr:rowOff>
    </xdr:from>
    <xdr:to>
      <xdr:col>5</xdr:col>
      <xdr:colOff>1234476</xdr:colOff>
      <xdr:row>199</xdr:row>
      <xdr:rowOff>96671</xdr:rowOff>
    </xdr:to>
    <xdr:pic>
      <xdr:nvPicPr>
        <xdr:cNvPr id="15" name="Picture 14">
          <a:extLst>
            <a:ext uri="{FF2B5EF4-FFF2-40B4-BE49-F238E27FC236}">
              <a16:creationId xmlns:a16="http://schemas.microsoft.com/office/drawing/2014/main" id="{EE815437-E968-24E3-598F-FF72F73D97D1}"/>
            </a:ext>
          </a:extLst>
        </xdr:cNvPr>
        <xdr:cNvPicPr>
          <a:picLocks noChangeAspect="1"/>
        </xdr:cNvPicPr>
      </xdr:nvPicPr>
      <xdr:blipFill>
        <a:blip xmlns:r="http://schemas.openxmlformats.org/officeDocument/2006/relationships" r:embed="rId10"/>
        <a:stretch>
          <a:fillRect/>
        </a:stretch>
      </xdr:blipFill>
      <xdr:spPr>
        <a:xfrm>
          <a:off x="763905" y="39904147"/>
          <a:ext cx="4187114" cy="2053890"/>
        </a:xfrm>
        <a:prstGeom prst="rect">
          <a:avLst/>
        </a:prstGeom>
      </xdr:spPr>
    </xdr:pic>
    <xdr:clientData/>
  </xdr:twoCellAnchor>
  <xdr:twoCellAnchor>
    <xdr:from>
      <xdr:col>6</xdr:col>
      <xdr:colOff>203610</xdr:colOff>
      <xdr:row>188</xdr:row>
      <xdr:rowOff>156938</xdr:rowOff>
    </xdr:from>
    <xdr:to>
      <xdr:col>8</xdr:col>
      <xdr:colOff>1856589</xdr:colOff>
      <xdr:row>212</xdr:row>
      <xdr:rowOff>53573</xdr:rowOff>
    </xdr:to>
    <xdr:pic>
      <xdr:nvPicPr>
        <xdr:cNvPr id="16" name="Picture 15">
          <a:extLst>
            <a:ext uri="{FF2B5EF4-FFF2-40B4-BE49-F238E27FC236}">
              <a16:creationId xmlns:a16="http://schemas.microsoft.com/office/drawing/2014/main" id="{10A1EB8C-B2F7-5D38-69F4-A8C71A295D7E}"/>
            </a:ext>
          </a:extLst>
        </xdr:cNvPr>
        <xdr:cNvPicPr>
          <a:picLocks noChangeAspect="1"/>
        </xdr:cNvPicPr>
      </xdr:nvPicPr>
      <xdr:blipFill>
        <a:blip xmlns:r="http://schemas.openxmlformats.org/officeDocument/2006/relationships" r:embed="rId11"/>
        <a:stretch>
          <a:fillRect/>
        </a:stretch>
      </xdr:blipFill>
      <xdr:spPr>
        <a:xfrm>
          <a:off x="5941022" y="40173144"/>
          <a:ext cx="5612465" cy="3930753"/>
        </a:xfrm>
        <a:prstGeom prst="rect">
          <a:avLst/>
        </a:prstGeom>
      </xdr:spPr>
    </xdr:pic>
    <xdr:clientData/>
  </xdr:twoCellAnchor>
  <xdr:twoCellAnchor>
    <xdr:from>
      <xdr:col>3</xdr:col>
      <xdr:colOff>65331</xdr:colOff>
      <xdr:row>201</xdr:row>
      <xdr:rowOff>22411</xdr:rowOff>
    </xdr:from>
    <xdr:to>
      <xdr:col>5</xdr:col>
      <xdr:colOff>1768740</xdr:colOff>
      <xdr:row>227</xdr:row>
      <xdr:rowOff>113478</xdr:rowOff>
    </xdr:to>
    <xdr:pic>
      <xdr:nvPicPr>
        <xdr:cNvPr id="18" name="Picture 17">
          <a:extLst>
            <a:ext uri="{FF2B5EF4-FFF2-40B4-BE49-F238E27FC236}">
              <a16:creationId xmlns:a16="http://schemas.microsoft.com/office/drawing/2014/main" id="{AB5DFA22-B83B-5E13-4405-B3BE6ED3C6B8}"/>
            </a:ext>
          </a:extLst>
        </xdr:cNvPr>
        <xdr:cNvPicPr>
          <a:picLocks noChangeAspect="1"/>
        </xdr:cNvPicPr>
      </xdr:nvPicPr>
      <xdr:blipFill>
        <a:blip xmlns:r="http://schemas.openxmlformats.org/officeDocument/2006/relationships" r:embed="rId12"/>
        <a:stretch>
          <a:fillRect/>
        </a:stretch>
      </xdr:blipFill>
      <xdr:spPr>
        <a:xfrm>
          <a:off x="65331" y="42223764"/>
          <a:ext cx="5431382" cy="4461361"/>
        </a:xfrm>
        <a:prstGeom prst="rect">
          <a:avLst/>
        </a:prstGeom>
      </xdr:spPr>
    </xdr:pic>
    <xdr:clientData/>
  </xdr:twoCellAnchor>
  <xdr:twoCellAnchor>
    <xdr:from>
      <xdr:col>0</xdr:col>
      <xdr:colOff>0</xdr:colOff>
      <xdr:row>155</xdr:row>
      <xdr:rowOff>178028</xdr:rowOff>
    </xdr:from>
    <xdr:to>
      <xdr:col>2</xdr:col>
      <xdr:colOff>1602441</xdr:colOff>
      <xdr:row>176</xdr:row>
      <xdr:rowOff>149653</xdr:rowOff>
    </xdr:to>
    <xdr:pic>
      <xdr:nvPicPr>
        <xdr:cNvPr id="19" name="Picture 18">
          <a:extLst>
            <a:ext uri="{FF2B5EF4-FFF2-40B4-BE49-F238E27FC236}">
              <a16:creationId xmlns:a16="http://schemas.microsoft.com/office/drawing/2014/main" id="{4264B410-D372-F055-E737-E7E8CFC57417}"/>
            </a:ext>
          </a:extLst>
        </xdr:cNvPr>
        <xdr:cNvPicPr>
          <a:picLocks noChangeAspect="1"/>
        </xdr:cNvPicPr>
      </xdr:nvPicPr>
      <xdr:blipFill>
        <a:blip xmlns:r="http://schemas.openxmlformats.org/officeDocument/2006/relationships" r:embed="rId13"/>
        <a:stretch>
          <a:fillRect/>
        </a:stretch>
      </xdr:blipFill>
      <xdr:spPr>
        <a:xfrm>
          <a:off x="0" y="38233204"/>
          <a:ext cx="5322794" cy="3512684"/>
        </a:xfrm>
        <a:prstGeom prst="rect">
          <a:avLst/>
        </a:prstGeom>
      </xdr:spPr>
    </xdr:pic>
    <xdr:clientData/>
  </xdr:twoCellAnchor>
  <xdr:twoCellAnchor>
    <xdr:from>
      <xdr:col>4</xdr:col>
      <xdr:colOff>571499</xdr:colOff>
      <xdr:row>113</xdr:row>
      <xdr:rowOff>156882</xdr:rowOff>
    </xdr:from>
    <xdr:to>
      <xdr:col>6</xdr:col>
      <xdr:colOff>1720998</xdr:colOff>
      <xdr:row>119</xdr:row>
      <xdr:rowOff>43703</xdr:rowOff>
    </xdr:to>
    <xdr:pic>
      <xdr:nvPicPr>
        <xdr:cNvPr id="20" name="Picture 19">
          <a:extLst>
            <a:ext uri="{FF2B5EF4-FFF2-40B4-BE49-F238E27FC236}">
              <a16:creationId xmlns:a16="http://schemas.microsoft.com/office/drawing/2014/main" id="{052CD90E-043E-4851-A918-FB216B9FC6C1}"/>
            </a:ext>
          </a:extLst>
        </xdr:cNvPr>
        <xdr:cNvPicPr>
          <a:picLocks noChangeAspect="1"/>
        </xdr:cNvPicPr>
      </xdr:nvPicPr>
      <xdr:blipFill>
        <a:blip xmlns:r="http://schemas.openxmlformats.org/officeDocument/2006/relationships" r:embed="rId14"/>
        <a:stretch>
          <a:fillRect/>
        </a:stretch>
      </xdr:blipFill>
      <xdr:spPr>
        <a:xfrm>
          <a:off x="7429499" y="22938441"/>
          <a:ext cx="5474970" cy="895350"/>
        </a:xfrm>
        <a:prstGeom prst="rect">
          <a:avLst/>
        </a:prstGeom>
      </xdr:spPr>
    </xdr:pic>
    <xdr:clientData/>
  </xdr:twoCellAnchor>
  <xdr:twoCellAnchor>
    <xdr:from>
      <xdr:col>2</xdr:col>
      <xdr:colOff>1716718</xdr:colOff>
      <xdr:row>71</xdr:row>
      <xdr:rowOff>0</xdr:rowOff>
    </xdr:from>
    <xdr:to>
      <xdr:col>5</xdr:col>
      <xdr:colOff>1196340</xdr:colOff>
      <xdr:row>86</xdr:row>
      <xdr:rowOff>17903</xdr:rowOff>
    </xdr:to>
    <xdr:pic>
      <xdr:nvPicPr>
        <xdr:cNvPr id="9" name="Picture 8">
          <a:extLst>
            <a:ext uri="{FF2B5EF4-FFF2-40B4-BE49-F238E27FC236}">
              <a16:creationId xmlns:a16="http://schemas.microsoft.com/office/drawing/2014/main" id="{1AC5531F-0708-4448-B305-055C8063CABC}"/>
            </a:ext>
          </a:extLst>
        </xdr:cNvPr>
        <xdr:cNvPicPr>
          <a:picLocks noChangeAspect="1"/>
        </xdr:cNvPicPr>
      </xdr:nvPicPr>
      <xdr:blipFill>
        <a:blip xmlns:r="http://schemas.openxmlformats.org/officeDocument/2006/relationships" r:embed="rId15"/>
        <a:stretch>
          <a:fillRect/>
        </a:stretch>
      </xdr:blipFill>
      <xdr:spPr>
        <a:xfrm>
          <a:off x="4812343" y="20278725"/>
          <a:ext cx="4903157" cy="2597273"/>
        </a:xfrm>
        <a:prstGeom prst="rect">
          <a:avLst/>
        </a:prstGeom>
      </xdr:spPr>
    </xdr:pic>
    <xdr:clientData/>
  </xdr:twoCellAnchor>
  <xdr:twoCellAnchor>
    <xdr:from>
      <xdr:col>0</xdr:col>
      <xdr:colOff>20955</xdr:colOff>
      <xdr:row>69</xdr:row>
      <xdr:rowOff>27774</xdr:rowOff>
    </xdr:from>
    <xdr:to>
      <xdr:col>2</xdr:col>
      <xdr:colOff>1583055</xdr:colOff>
      <xdr:row>91</xdr:row>
      <xdr:rowOff>132599</xdr:rowOff>
    </xdr:to>
    <xdr:pic>
      <xdr:nvPicPr>
        <xdr:cNvPr id="12" name="Picture 11">
          <a:extLst>
            <a:ext uri="{FF2B5EF4-FFF2-40B4-BE49-F238E27FC236}">
              <a16:creationId xmlns:a16="http://schemas.microsoft.com/office/drawing/2014/main" id="{E1358280-2E76-C24D-2684-9DB0535810D5}"/>
            </a:ext>
          </a:extLst>
        </xdr:cNvPr>
        <xdr:cNvPicPr>
          <a:picLocks noChangeAspect="1"/>
        </xdr:cNvPicPr>
      </xdr:nvPicPr>
      <xdr:blipFill>
        <a:blip xmlns:r="http://schemas.openxmlformats.org/officeDocument/2006/relationships" r:embed="rId16"/>
        <a:stretch>
          <a:fillRect/>
        </a:stretch>
      </xdr:blipFill>
      <xdr:spPr>
        <a:xfrm>
          <a:off x="20955" y="19954074"/>
          <a:ext cx="4665345" cy="3899585"/>
        </a:xfrm>
        <a:prstGeom prst="rect">
          <a:avLst/>
        </a:prstGeom>
      </xdr:spPr>
    </xdr:pic>
    <xdr:clientData/>
  </xdr:twoCellAnchor>
  <xdr:twoCellAnchor>
    <xdr:from>
      <xdr:col>5</xdr:col>
      <xdr:colOff>2524125</xdr:colOff>
      <xdr:row>69</xdr:row>
      <xdr:rowOff>129805</xdr:rowOff>
    </xdr:from>
    <xdr:to>
      <xdr:col>8</xdr:col>
      <xdr:colOff>873854</xdr:colOff>
      <xdr:row>82</xdr:row>
      <xdr:rowOff>152400</xdr:rowOff>
    </xdr:to>
    <xdr:pic>
      <xdr:nvPicPr>
        <xdr:cNvPr id="17" name="Picture 16">
          <a:extLst>
            <a:ext uri="{FF2B5EF4-FFF2-40B4-BE49-F238E27FC236}">
              <a16:creationId xmlns:a16="http://schemas.microsoft.com/office/drawing/2014/main" id="{30EA55E4-2E3A-E7C9-EB69-CA251324DD01}"/>
            </a:ext>
          </a:extLst>
        </xdr:cNvPr>
        <xdr:cNvPicPr>
          <a:picLocks noChangeAspect="1"/>
        </xdr:cNvPicPr>
      </xdr:nvPicPr>
      <xdr:blipFill>
        <a:blip xmlns:r="http://schemas.openxmlformats.org/officeDocument/2006/relationships" r:embed="rId17"/>
        <a:stretch>
          <a:fillRect/>
        </a:stretch>
      </xdr:blipFill>
      <xdr:spPr>
        <a:xfrm>
          <a:off x="11043285" y="20315185"/>
          <a:ext cx="5268689" cy="2217155"/>
        </a:xfrm>
        <a:prstGeom prst="rect">
          <a:avLst/>
        </a:prstGeom>
      </xdr:spPr>
    </xdr:pic>
    <xdr:clientData/>
  </xdr:twoCellAnchor>
  <xdr:twoCellAnchor editAs="oneCell">
    <xdr:from>
      <xdr:col>8</xdr:col>
      <xdr:colOff>327660</xdr:colOff>
      <xdr:row>2</xdr:row>
      <xdr:rowOff>21305</xdr:rowOff>
    </xdr:from>
    <xdr:to>
      <xdr:col>11</xdr:col>
      <xdr:colOff>440055</xdr:colOff>
      <xdr:row>6</xdr:row>
      <xdr:rowOff>20683</xdr:rowOff>
    </xdr:to>
    <xdr:pic>
      <xdr:nvPicPr>
        <xdr:cNvPr id="14" name="Picture 13">
          <a:extLst>
            <a:ext uri="{FF2B5EF4-FFF2-40B4-BE49-F238E27FC236}">
              <a16:creationId xmlns:a16="http://schemas.microsoft.com/office/drawing/2014/main" id="{D43E273A-589A-4936-97C1-9BC36903F10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5765780" y="669005"/>
          <a:ext cx="5029200" cy="19500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887730</xdr:colOff>
      <xdr:row>16</xdr:row>
      <xdr:rowOff>1112369</xdr:rowOff>
    </xdr:from>
    <xdr:to>
      <xdr:col>12</xdr:col>
      <xdr:colOff>1007745</xdr:colOff>
      <xdr:row>20</xdr:row>
      <xdr:rowOff>154592</xdr:rowOff>
    </xdr:to>
    <xdr:pic>
      <xdr:nvPicPr>
        <xdr:cNvPr id="21" name="Picture 20">
          <a:extLst>
            <a:ext uri="{FF2B5EF4-FFF2-40B4-BE49-F238E27FC236}">
              <a16:creationId xmlns:a16="http://schemas.microsoft.com/office/drawing/2014/main" id="{2E65A955-EA3C-CD1C-3606-B4A58B0D8E5C}"/>
            </a:ext>
          </a:extLst>
        </xdr:cNvPr>
        <xdr:cNvPicPr>
          <a:picLocks noChangeAspect="1"/>
        </xdr:cNvPicPr>
      </xdr:nvPicPr>
      <xdr:blipFill>
        <a:blip xmlns:r="http://schemas.openxmlformats.org/officeDocument/2006/relationships" r:embed="rId19"/>
        <a:stretch>
          <a:fillRect/>
        </a:stretch>
      </xdr:blipFill>
      <xdr:spPr>
        <a:xfrm>
          <a:off x="16337280" y="6560669"/>
          <a:ext cx="6082665" cy="1642548"/>
        </a:xfrm>
        <a:prstGeom prst="rect">
          <a:avLst/>
        </a:prstGeom>
      </xdr:spPr>
    </xdr:pic>
    <xdr:clientData/>
  </xdr:twoCellAnchor>
  <xdr:twoCellAnchor editAs="oneCell">
    <xdr:from>
      <xdr:col>8</xdr:col>
      <xdr:colOff>1142999</xdr:colOff>
      <xdr:row>10</xdr:row>
      <xdr:rowOff>102479</xdr:rowOff>
    </xdr:from>
    <xdr:to>
      <xdr:col>13</xdr:col>
      <xdr:colOff>396286</xdr:colOff>
      <xdr:row>14</xdr:row>
      <xdr:rowOff>152399</xdr:rowOff>
    </xdr:to>
    <xdr:pic>
      <xdr:nvPicPr>
        <xdr:cNvPr id="22" name="Picture 21">
          <a:extLst>
            <a:ext uri="{FF2B5EF4-FFF2-40B4-BE49-F238E27FC236}">
              <a16:creationId xmlns:a16="http://schemas.microsoft.com/office/drawing/2014/main" id="{E8170DA3-8588-C4D2-B430-FADCA4BB91D8}"/>
            </a:ext>
          </a:extLst>
        </xdr:cNvPr>
        <xdr:cNvPicPr>
          <a:picLocks noChangeAspect="1"/>
        </xdr:cNvPicPr>
      </xdr:nvPicPr>
      <xdr:blipFill>
        <a:blip xmlns:r="http://schemas.openxmlformats.org/officeDocument/2006/relationships" r:embed="rId20"/>
        <a:stretch>
          <a:fillRect/>
        </a:stretch>
      </xdr:blipFill>
      <xdr:spPr>
        <a:xfrm>
          <a:off x="16592549" y="3455279"/>
          <a:ext cx="6257972" cy="1411995"/>
        </a:xfrm>
        <a:prstGeom prst="rect">
          <a:avLst/>
        </a:prstGeom>
      </xdr:spPr>
    </xdr:pic>
    <xdr:clientData/>
  </xdr:twoCellAnchor>
  <xdr:twoCellAnchor editAs="oneCell">
    <xdr:from>
      <xdr:col>8</xdr:col>
      <xdr:colOff>1036320</xdr:colOff>
      <xdr:row>14</xdr:row>
      <xdr:rowOff>191293</xdr:rowOff>
    </xdr:from>
    <xdr:to>
      <xdr:col>13</xdr:col>
      <xdr:colOff>40005</xdr:colOff>
      <xdr:row>16</xdr:row>
      <xdr:rowOff>1107098</xdr:rowOff>
    </xdr:to>
    <xdr:pic>
      <xdr:nvPicPr>
        <xdr:cNvPr id="23" name="Picture 22">
          <a:extLst>
            <a:ext uri="{FF2B5EF4-FFF2-40B4-BE49-F238E27FC236}">
              <a16:creationId xmlns:a16="http://schemas.microsoft.com/office/drawing/2014/main" id="{4AF098B4-3CBB-8224-D7FE-4531ACADA11B}"/>
            </a:ext>
          </a:extLst>
        </xdr:cNvPr>
        <xdr:cNvPicPr>
          <a:picLocks noChangeAspect="1"/>
        </xdr:cNvPicPr>
      </xdr:nvPicPr>
      <xdr:blipFill>
        <a:blip xmlns:r="http://schemas.openxmlformats.org/officeDocument/2006/relationships" r:embed="rId21"/>
        <a:stretch>
          <a:fillRect/>
        </a:stretch>
      </xdr:blipFill>
      <xdr:spPr>
        <a:xfrm>
          <a:off x="16485870" y="4906168"/>
          <a:ext cx="6004560" cy="164923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54</xdr:row>
      <xdr:rowOff>53863</xdr:rowOff>
    </xdr:from>
    <xdr:to>
      <xdr:col>2</xdr:col>
      <xdr:colOff>470671</xdr:colOff>
      <xdr:row>58</xdr:row>
      <xdr:rowOff>52816</xdr:rowOff>
    </xdr:to>
    <xdr:pic>
      <xdr:nvPicPr>
        <xdr:cNvPr id="2" name="Picture 1">
          <a:extLst>
            <a:ext uri="{FF2B5EF4-FFF2-40B4-BE49-F238E27FC236}">
              <a16:creationId xmlns:a16="http://schemas.microsoft.com/office/drawing/2014/main" id="{0B740DDE-41D0-4467-B0DC-3BAE203DB966}"/>
            </a:ext>
          </a:extLst>
        </xdr:cNvPr>
        <xdr:cNvPicPr>
          <a:picLocks noChangeAspect="1"/>
        </xdr:cNvPicPr>
      </xdr:nvPicPr>
      <xdr:blipFill>
        <a:blip xmlns:r="http://schemas.openxmlformats.org/officeDocument/2006/relationships" r:embed="rId1"/>
        <a:stretch>
          <a:fillRect/>
        </a:stretch>
      </xdr:blipFill>
      <xdr:spPr>
        <a:xfrm>
          <a:off x="0" y="12047743"/>
          <a:ext cx="5050291" cy="1096233"/>
        </a:xfrm>
        <a:prstGeom prst="rect">
          <a:avLst/>
        </a:prstGeom>
      </xdr:spPr>
    </xdr:pic>
    <xdr:clientData/>
  </xdr:twoCellAnchor>
  <xdr:twoCellAnchor>
    <xdr:from>
      <xdr:col>0</xdr:col>
      <xdr:colOff>1457</xdr:colOff>
      <xdr:row>65</xdr:row>
      <xdr:rowOff>7667</xdr:rowOff>
    </xdr:from>
    <xdr:to>
      <xdr:col>1</xdr:col>
      <xdr:colOff>565577</xdr:colOff>
      <xdr:row>68</xdr:row>
      <xdr:rowOff>140634</xdr:rowOff>
    </xdr:to>
    <xdr:pic>
      <xdr:nvPicPr>
        <xdr:cNvPr id="12" name="Picture 2">
          <a:extLst>
            <a:ext uri="{FF2B5EF4-FFF2-40B4-BE49-F238E27FC236}">
              <a16:creationId xmlns:a16="http://schemas.microsoft.com/office/drawing/2014/main" id="{5734A07A-6682-20F4-CBF8-1E6D0756BECA}"/>
            </a:ext>
            <a:ext uri="{147F2762-F138-4A5C-976F-8EAC2B608ADB}">
              <a16:predDERef xmlns:a16="http://schemas.microsoft.com/office/drawing/2014/main" pred="{0B740DDE-41D0-4467-B0DC-3BAE203DB966}"/>
            </a:ext>
          </a:extLst>
        </xdr:cNvPr>
        <xdr:cNvPicPr>
          <a:picLocks noChangeAspect="1"/>
        </xdr:cNvPicPr>
      </xdr:nvPicPr>
      <xdr:blipFill rotWithShape="1">
        <a:blip xmlns:r="http://schemas.openxmlformats.org/officeDocument/2006/relationships" r:embed="rId2"/>
        <a:srcRect l="8628"/>
        <a:stretch/>
      </xdr:blipFill>
      <xdr:spPr>
        <a:xfrm>
          <a:off x="1457" y="18981467"/>
          <a:ext cx="4421745" cy="675892"/>
        </a:xfrm>
        <a:prstGeom prst="rect">
          <a:avLst/>
        </a:prstGeom>
      </xdr:spPr>
    </xdr:pic>
    <xdr:clientData/>
  </xdr:twoCellAnchor>
  <xdr:twoCellAnchor>
    <xdr:from>
      <xdr:col>4</xdr:col>
      <xdr:colOff>266700</xdr:colOff>
      <xdr:row>51</xdr:row>
      <xdr:rowOff>149150</xdr:rowOff>
    </xdr:from>
    <xdr:to>
      <xdr:col>12</xdr:col>
      <xdr:colOff>444362</xdr:colOff>
      <xdr:row>67</xdr:row>
      <xdr:rowOff>11849</xdr:rowOff>
    </xdr:to>
    <xdr:pic>
      <xdr:nvPicPr>
        <xdr:cNvPr id="10" name="Picture 5">
          <a:extLst>
            <a:ext uri="{FF2B5EF4-FFF2-40B4-BE49-F238E27FC236}">
              <a16:creationId xmlns:a16="http://schemas.microsoft.com/office/drawing/2014/main" id="{805ED922-D228-96B0-8D61-B746D9AF82A4}"/>
            </a:ext>
            <a:ext uri="{147F2762-F138-4A5C-976F-8EAC2B608ADB}">
              <a16:predDERef xmlns:a16="http://schemas.microsoft.com/office/drawing/2014/main" pred="{C5F26EC7-DF9B-4CC4-B7A4-5D7A5EB23E44}"/>
            </a:ext>
          </a:extLst>
        </xdr:cNvPr>
        <xdr:cNvPicPr>
          <a:picLocks noChangeAspect="1"/>
        </xdr:cNvPicPr>
      </xdr:nvPicPr>
      <xdr:blipFill>
        <a:blip xmlns:r="http://schemas.openxmlformats.org/officeDocument/2006/relationships" r:embed="rId3"/>
        <a:stretch>
          <a:fillRect/>
        </a:stretch>
      </xdr:blipFill>
      <xdr:spPr>
        <a:xfrm>
          <a:off x="5953125" y="16036850"/>
          <a:ext cx="4997312" cy="3310749"/>
        </a:xfrm>
        <a:prstGeom prst="rect">
          <a:avLst/>
        </a:prstGeom>
      </xdr:spPr>
    </xdr:pic>
    <xdr:clientData/>
  </xdr:twoCellAnchor>
  <xdr:twoCellAnchor>
    <xdr:from>
      <xdr:col>4</xdr:col>
      <xdr:colOff>548640</xdr:colOff>
      <xdr:row>75</xdr:row>
      <xdr:rowOff>81915</xdr:rowOff>
    </xdr:from>
    <xdr:to>
      <xdr:col>12</xdr:col>
      <xdr:colOff>364943</xdr:colOff>
      <xdr:row>84</xdr:row>
      <xdr:rowOff>133744</xdr:rowOff>
    </xdr:to>
    <xdr:pic>
      <xdr:nvPicPr>
        <xdr:cNvPr id="7" name="Picture 6">
          <a:extLst>
            <a:ext uri="{FF2B5EF4-FFF2-40B4-BE49-F238E27FC236}">
              <a16:creationId xmlns:a16="http://schemas.microsoft.com/office/drawing/2014/main" id="{EF42B56F-29D4-E6D1-D52B-26679DECBFBD}"/>
            </a:ext>
          </a:extLst>
        </xdr:cNvPr>
        <xdr:cNvPicPr>
          <a:picLocks noChangeAspect="1"/>
        </xdr:cNvPicPr>
      </xdr:nvPicPr>
      <xdr:blipFill>
        <a:blip xmlns:r="http://schemas.openxmlformats.org/officeDocument/2006/relationships" r:embed="rId4"/>
        <a:stretch>
          <a:fillRect/>
        </a:stretch>
      </xdr:blipFill>
      <xdr:spPr>
        <a:xfrm>
          <a:off x="6349365" y="16045815"/>
          <a:ext cx="4689293" cy="1686319"/>
        </a:xfrm>
        <a:prstGeom prst="rect">
          <a:avLst/>
        </a:prstGeom>
      </xdr:spPr>
    </xdr:pic>
    <xdr:clientData/>
  </xdr:twoCellAnchor>
  <xdr:twoCellAnchor>
    <xdr:from>
      <xdr:col>5</xdr:col>
      <xdr:colOff>17145</xdr:colOff>
      <xdr:row>68</xdr:row>
      <xdr:rowOff>66430</xdr:rowOff>
    </xdr:from>
    <xdr:to>
      <xdr:col>12</xdr:col>
      <xdr:colOff>449758</xdr:colOff>
      <xdr:row>74</xdr:row>
      <xdr:rowOff>26912</xdr:rowOff>
    </xdr:to>
    <xdr:pic>
      <xdr:nvPicPr>
        <xdr:cNvPr id="11" name="Picture 7">
          <a:extLst>
            <a:ext uri="{FF2B5EF4-FFF2-40B4-BE49-F238E27FC236}">
              <a16:creationId xmlns:a16="http://schemas.microsoft.com/office/drawing/2014/main" id="{4286AA55-1F63-3C6A-0B06-B6330E5223B7}"/>
            </a:ext>
            <a:ext uri="{147F2762-F138-4A5C-976F-8EAC2B608ADB}">
              <a16:predDERef xmlns:a16="http://schemas.microsoft.com/office/drawing/2014/main" pred="{EF42B56F-29D4-E6D1-D52B-26679DECBFBD}"/>
            </a:ext>
          </a:extLst>
        </xdr:cNvPr>
        <xdr:cNvPicPr>
          <a:picLocks noChangeAspect="1"/>
        </xdr:cNvPicPr>
      </xdr:nvPicPr>
      <xdr:blipFill>
        <a:blip xmlns:r="http://schemas.openxmlformats.org/officeDocument/2006/relationships" r:embed="rId5"/>
        <a:stretch>
          <a:fillRect/>
        </a:stretch>
      </xdr:blipFill>
      <xdr:spPr>
        <a:xfrm>
          <a:off x="6303645" y="19583155"/>
          <a:ext cx="4652188" cy="104633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43</xdr:row>
      <xdr:rowOff>95250</xdr:rowOff>
    </xdr:from>
    <xdr:to>
      <xdr:col>3</xdr:col>
      <xdr:colOff>616323</xdr:colOff>
      <xdr:row>56</xdr:row>
      <xdr:rowOff>15744</xdr:rowOff>
    </xdr:to>
    <xdr:pic>
      <xdr:nvPicPr>
        <xdr:cNvPr id="2" name="Picture 1">
          <a:extLst>
            <a:ext uri="{FF2B5EF4-FFF2-40B4-BE49-F238E27FC236}">
              <a16:creationId xmlns:a16="http://schemas.microsoft.com/office/drawing/2014/main" id="{4AB6B590-8240-42B5-8713-89AF304C18A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9340103"/>
          <a:ext cx="5636558" cy="211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63</xdr:row>
      <xdr:rowOff>125506</xdr:rowOff>
    </xdr:from>
    <xdr:to>
      <xdr:col>3</xdr:col>
      <xdr:colOff>583576</xdr:colOff>
      <xdr:row>77</xdr:row>
      <xdr:rowOff>57754</xdr:rowOff>
    </xdr:to>
    <xdr:pic>
      <xdr:nvPicPr>
        <xdr:cNvPr id="3" name="Picture 2">
          <a:extLst>
            <a:ext uri="{FF2B5EF4-FFF2-40B4-BE49-F238E27FC236}">
              <a16:creationId xmlns:a16="http://schemas.microsoft.com/office/drawing/2014/main" id="{A1C8E9F4-3D13-898E-3FA9-D082AC080B02}"/>
            </a:ext>
          </a:extLst>
        </xdr:cNvPr>
        <xdr:cNvPicPr>
          <a:picLocks noChangeAspect="1"/>
        </xdr:cNvPicPr>
      </xdr:nvPicPr>
      <xdr:blipFill>
        <a:blip xmlns:r="http://schemas.openxmlformats.org/officeDocument/2006/relationships" r:embed="rId2"/>
        <a:stretch>
          <a:fillRect/>
        </a:stretch>
      </xdr:blipFill>
      <xdr:spPr>
        <a:xfrm>
          <a:off x="0" y="9206753"/>
          <a:ext cx="5594847" cy="244236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3</xdr:col>
      <xdr:colOff>815835</xdr:colOff>
      <xdr:row>60</xdr:row>
      <xdr:rowOff>114795</xdr:rowOff>
    </xdr:from>
    <xdr:to>
      <xdr:col>9</xdr:col>
      <xdr:colOff>858739</xdr:colOff>
      <xdr:row>75</xdr:row>
      <xdr:rowOff>38132</xdr:rowOff>
    </xdr:to>
    <xdr:pic>
      <xdr:nvPicPr>
        <xdr:cNvPr id="2" name="Picture 1">
          <a:extLst>
            <a:ext uri="{FF2B5EF4-FFF2-40B4-BE49-F238E27FC236}">
              <a16:creationId xmlns:a16="http://schemas.microsoft.com/office/drawing/2014/main" id="{E1D3DBDE-70E7-4840-8393-CD991B55F9F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635485" y="10878045"/>
          <a:ext cx="7776210" cy="2491278"/>
        </a:xfrm>
        <a:prstGeom prst="rect">
          <a:avLst/>
        </a:prstGeom>
      </xdr:spPr>
    </xdr:pic>
    <xdr:clientData/>
  </xdr:twoCellAnchor>
  <xdr:twoCellAnchor>
    <xdr:from>
      <xdr:col>0</xdr:col>
      <xdr:colOff>0</xdr:colOff>
      <xdr:row>60</xdr:row>
      <xdr:rowOff>0</xdr:rowOff>
    </xdr:from>
    <xdr:to>
      <xdr:col>3</xdr:col>
      <xdr:colOff>362420</xdr:colOff>
      <xdr:row>94</xdr:row>
      <xdr:rowOff>131957</xdr:rowOff>
    </xdr:to>
    <xdr:pic>
      <xdr:nvPicPr>
        <xdr:cNvPr id="3" name="Picture 2">
          <a:extLst>
            <a:ext uri="{FF2B5EF4-FFF2-40B4-BE49-F238E27FC236}">
              <a16:creationId xmlns:a16="http://schemas.microsoft.com/office/drawing/2014/main" id="{0F9A23DC-97C3-4C1E-8F22-39F789A0441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10763250"/>
          <a:ext cx="5435435" cy="5965068"/>
        </a:xfrm>
        <a:prstGeom prst="rect">
          <a:avLst/>
        </a:prstGeom>
      </xdr:spPr>
    </xdr:pic>
    <xdr:clientData/>
  </xdr:twoCellAnchor>
  <xdr:twoCellAnchor>
    <xdr:from>
      <xdr:col>4</xdr:col>
      <xdr:colOff>60960</xdr:colOff>
      <xdr:row>76</xdr:row>
      <xdr:rowOff>105614</xdr:rowOff>
    </xdr:from>
    <xdr:to>
      <xdr:col>8</xdr:col>
      <xdr:colOff>439271</xdr:colOff>
      <xdr:row>97</xdr:row>
      <xdr:rowOff>63418</xdr:rowOff>
    </xdr:to>
    <xdr:pic>
      <xdr:nvPicPr>
        <xdr:cNvPr id="4" name="Picture 3">
          <a:extLst>
            <a:ext uri="{FF2B5EF4-FFF2-40B4-BE49-F238E27FC236}">
              <a16:creationId xmlns:a16="http://schemas.microsoft.com/office/drawing/2014/main" id="{94A569D6-34C5-420C-822A-D98C9A208FE9}"/>
            </a:ext>
          </a:extLst>
        </xdr:cNvPr>
        <xdr:cNvPicPr>
          <a:picLocks noChangeAspect="1"/>
        </xdr:cNvPicPr>
      </xdr:nvPicPr>
      <xdr:blipFill>
        <a:blip xmlns:r="http://schemas.openxmlformats.org/officeDocument/2006/relationships" r:embed="rId3"/>
        <a:stretch>
          <a:fillRect/>
        </a:stretch>
      </xdr:blipFill>
      <xdr:spPr>
        <a:xfrm>
          <a:off x="7474772" y="15399402"/>
          <a:ext cx="6178475" cy="3534722"/>
        </a:xfrm>
        <a:prstGeom prst="rect">
          <a:avLst/>
        </a:prstGeom>
      </xdr:spPr>
    </xdr:pic>
    <xdr:clientData/>
  </xdr:twoCellAnchor>
  <xdr:twoCellAnchor>
    <xdr:from>
      <xdr:col>0</xdr:col>
      <xdr:colOff>0</xdr:colOff>
      <xdr:row>98</xdr:row>
      <xdr:rowOff>106680</xdr:rowOff>
    </xdr:from>
    <xdr:to>
      <xdr:col>3</xdr:col>
      <xdr:colOff>1848919</xdr:colOff>
      <xdr:row>108</xdr:row>
      <xdr:rowOff>141338</xdr:rowOff>
    </xdr:to>
    <xdr:pic>
      <xdr:nvPicPr>
        <xdr:cNvPr id="5" name="Picture 4">
          <a:extLst>
            <a:ext uri="{FF2B5EF4-FFF2-40B4-BE49-F238E27FC236}">
              <a16:creationId xmlns:a16="http://schemas.microsoft.com/office/drawing/2014/main" id="{986F7459-C05B-EC22-3D9D-351FD7DCEEC9}"/>
            </a:ext>
          </a:extLst>
        </xdr:cNvPr>
        <xdr:cNvPicPr>
          <a:picLocks noChangeAspect="1"/>
        </xdr:cNvPicPr>
      </xdr:nvPicPr>
      <xdr:blipFill>
        <a:blip xmlns:r="http://schemas.openxmlformats.org/officeDocument/2006/relationships" r:embed="rId4"/>
        <a:stretch>
          <a:fillRect/>
        </a:stretch>
      </xdr:blipFill>
      <xdr:spPr>
        <a:xfrm>
          <a:off x="0" y="17099280"/>
          <a:ext cx="6935269" cy="1716773"/>
        </a:xfrm>
        <a:prstGeom prst="rect">
          <a:avLst/>
        </a:prstGeom>
      </xdr:spPr>
    </xdr:pic>
    <xdr:clientData/>
  </xdr:twoCellAnchor>
  <xdr:twoCellAnchor>
    <xdr:from>
      <xdr:col>4</xdr:col>
      <xdr:colOff>415291</xdr:colOff>
      <xdr:row>111</xdr:row>
      <xdr:rowOff>23431</xdr:rowOff>
    </xdr:from>
    <xdr:to>
      <xdr:col>6</xdr:col>
      <xdr:colOff>331471</xdr:colOff>
      <xdr:row>120</xdr:row>
      <xdr:rowOff>2260</xdr:rowOff>
    </xdr:to>
    <xdr:pic>
      <xdr:nvPicPr>
        <xdr:cNvPr id="6" name="Picture 5">
          <a:extLst>
            <a:ext uri="{FF2B5EF4-FFF2-40B4-BE49-F238E27FC236}">
              <a16:creationId xmlns:a16="http://schemas.microsoft.com/office/drawing/2014/main" id="{C7B890FC-AD4B-4292-B4E9-CA0F79201BED}"/>
            </a:ext>
          </a:extLst>
        </xdr:cNvPr>
        <xdr:cNvPicPr>
          <a:picLocks noChangeAspect="1"/>
        </xdr:cNvPicPr>
      </xdr:nvPicPr>
      <xdr:blipFill>
        <a:blip xmlns:r="http://schemas.openxmlformats.org/officeDocument/2006/relationships" r:embed="rId5"/>
        <a:stretch>
          <a:fillRect/>
        </a:stretch>
      </xdr:blipFill>
      <xdr:spPr>
        <a:xfrm>
          <a:off x="7837171" y="19195351"/>
          <a:ext cx="3670935" cy="1487589"/>
        </a:xfrm>
        <a:prstGeom prst="rect">
          <a:avLst/>
        </a:prstGeom>
      </xdr:spPr>
    </xdr:pic>
    <xdr:clientData/>
  </xdr:twoCellAnchor>
  <xdr:twoCellAnchor>
    <xdr:from>
      <xdr:col>0</xdr:col>
      <xdr:colOff>0</xdr:colOff>
      <xdr:row>113</xdr:row>
      <xdr:rowOff>11430</xdr:rowOff>
    </xdr:from>
    <xdr:to>
      <xdr:col>2</xdr:col>
      <xdr:colOff>17176</xdr:colOff>
      <xdr:row>120</xdr:row>
      <xdr:rowOff>47900</xdr:rowOff>
    </xdr:to>
    <xdr:pic>
      <xdr:nvPicPr>
        <xdr:cNvPr id="7" name="Picture 6">
          <a:extLst>
            <a:ext uri="{FF2B5EF4-FFF2-40B4-BE49-F238E27FC236}">
              <a16:creationId xmlns:a16="http://schemas.microsoft.com/office/drawing/2014/main" id="{E83A95D6-050C-42A8-827F-800901485D52}"/>
            </a:ext>
          </a:extLst>
        </xdr:cNvPr>
        <xdr:cNvPicPr>
          <a:picLocks noChangeAspect="1"/>
        </xdr:cNvPicPr>
      </xdr:nvPicPr>
      <xdr:blipFill>
        <a:blip xmlns:r="http://schemas.openxmlformats.org/officeDocument/2006/relationships" r:embed="rId6"/>
        <a:stretch>
          <a:fillRect/>
        </a:stretch>
      </xdr:blipFill>
      <xdr:spPr>
        <a:xfrm>
          <a:off x="0" y="7454265"/>
          <a:ext cx="3570001" cy="1204235"/>
        </a:xfrm>
        <a:prstGeom prst="rect">
          <a:avLst/>
        </a:prstGeom>
      </xdr:spPr>
    </xdr:pic>
    <xdr:clientData/>
  </xdr:twoCellAnchor>
  <xdr:twoCellAnchor>
    <xdr:from>
      <xdr:col>2</xdr:col>
      <xdr:colOff>480060</xdr:colOff>
      <xdr:row>113</xdr:row>
      <xdr:rowOff>41321</xdr:rowOff>
    </xdr:from>
    <xdr:to>
      <xdr:col>4</xdr:col>
      <xdr:colOff>243840</xdr:colOff>
      <xdr:row>119</xdr:row>
      <xdr:rowOff>76445</xdr:rowOff>
    </xdr:to>
    <xdr:pic>
      <xdr:nvPicPr>
        <xdr:cNvPr id="8" name="Picture 7">
          <a:extLst>
            <a:ext uri="{FF2B5EF4-FFF2-40B4-BE49-F238E27FC236}">
              <a16:creationId xmlns:a16="http://schemas.microsoft.com/office/drawing/2014/main" id="{C98429D6-9528-4F82-AA89-80FA8B7A6AF1}"/>
            </a:ext>
          </a:extLst>
        </xdr:cNvPr>
        <xdr:cNvPicPr>
          <a:picLocks noChangeAspect="1"/>
        </xdr:cNvPicPr>
      </xdr:nvPicPr>
      <xdr:blipFill>
        <a:blip xmlns:r="http://schemas.openxmlformats.org/officeDocument/2006/relationships" r:embed="rId7"/>
        <a:stretch>
          <a:fillRect/>
        </a:stretch>
      </xdr:blipFill>
      <xdr:spPr>
        <a:xfrm>
          <a:off x="4023360" y="19548521"/>
          <a:ext cx="3634740" cy="10409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30</xdr:row>
      <xdr:rowOff>64249</xdr:rowOff>
    </xdr:from>
    <xdr:to>
      <xdr:col>3</xdr:col>
      <xdr:colOff>895350</xdr:colOff>
      <xdr:row>34</xdr:row>
      <xdr:rowOff>18899</xdr:rowOff>
    </xdr:to>
    <xdr:pic>
      <xdr:nvPicPr>
        <xdr:cNvPr id="2" name="Picture 1">
          <a:extLst>
            <a:ext uri="{FF2B5EF4-FFF2-40B4-BE49-F238E27FC236}">
              <a16:creationId xmlns:a16="http://schemas.microsoft.com/office/drawing/2014/main" id="{04155185-DC68-0D2A-0BBD-50F0DC491C28}"/>
            </a:ext>
          </a:extLst>
        </xdr:cNvPr>
        <xdr:cNvPicPr>
          <a:picLocks noChangeAspect="1"/>
        </xdr:cNvPicPr>
      </xdr:nvPicPr>
      <xdr:blipFill>
        <a:blip xmlns:r="http://schemas.openxmlformats.org/officeDocument/2006/relationships" r:embed="rId1"/>
        <a:stretch>
          <a:fillRect/>
        </a:stretch>
      </xdr:blipFill>
      <xdr:spPr>
        <a:xfrm>
          <a:off x="0" y="16249129"/>
          <a:ext cx="5669280" cy="640450"/>
        </a:xfrm>
        <a:prstGeom prst="rect">
          <a:avLst/>
        </a:prstGeom>
      </xdr:spPr>
    </xdr:pic>
    <xdr:clientData/>
  </xdr:twoCellAnchor>
  <xdr:twoCellAnchor>
    <xdr:from>
      <xdr:col>0</xdr:col>
      <xdr:colOff>106680</xdr:colOff>
      <xdr:row>37</xdr:row>
      <xdr:rowOff>127635</xdr:rowOff>
    </xdr:from>
    <xdr:to>
      <xdr:col>3</xdr:col>
      <xdr:colOff>705529</xdr:colOff>
      <xdr:row>51</xdr:row>
      <xdr:rowOff>19604</xdr:rowOff>
    </xdr:to>
    <xdr:pic>
      <xdr:nvPicPr>
        <xdr:cNvPr id="3" name="Picture 2">
          <a:extLst>
            <a:ext uri="{FF2B5EF4-FFF2-40B4-BE49-F238E27FC236}">
              <a16:creationId xmlns:a16="http://schemas.microsoft.com/office/drawing/2014/main" id="{E989AB44-E8A1-41DD-B1C1-0B4A5D8DA2B1}"/>
            </a:ext>
          </a:extLst>
        </xdr:cNvPr>
        <xdr:cNvPicPr>
          <a:picLocks noChangeAspect="1"/>
        </xdr:cNvPicPr>
      </xdr:nvPicPr>
      <xdr:blipFill>
        <a:blip xmlns:r="http://schemas.openxmlformats.org/officeDocument/2006/relationships" r:embed="rId2"/>
        <a:stretch>
          <a:fillRect/>
        </a:stretch>
      </xdr:blipFill>
      <xdr:spPr>
        <a:xfrm>
          <a:off x="106680" y="17013555"/>
          <a:ext cx="5355634" cy="2208449"/>
        </a:xfrm>
        <a:prstGeom prst="rect">
          <a:avLst/>
        </a:prstGeom>
      </xdr:spPr>
    </xdr:pic>
    <xdr:clientData/>
  </xdr:twoCellAnchor>
  <xdr:twoCellAnchor>
    <xdr:from>
      <xdr:col>4</xdr:col>
      <xdr:colOff>893530</xdr:colOff>
      <xdr:row>36</xdr:row>
      <xdr:rowOff>153239</xdr:rowOff>
    </xdr:from>
    <xdr:to>
      <xdr:col>7</xdr:col>
      <xdr:colOff>3032186</xdr:colOff>
      <xdr:row>42</xdr:row>
      <xdr:rowOff>89586</xdr:rowOff>
    </xdr:to>
    <xdr:pic>
      <xdr:nvPicPr>
        <xdr:cNvPr id="4" name="Picture 3">
          <a:extLst>
            <a:ext uri="{FF2B5EF4-FFF2-40B4-BE49-F238E27FC236}">
              <a16:creationId xmlns:a16="http://schemas.microsoft.com/office/drawing/2014/main" id="{D538C862-8008-4E73-ABDC-EDA7C34FD580}"/>
            </a:ext>
          </a:extLst>
        </xdr:cNvPr>
        <xdr:cNvPicPr>
          <a:picLocks noChangeAspect="1"/>
        </xdr:cNvPicPr>
      </xdr:nvPicPr>
      <xdr:blipFill>
        <a:blip xmlns:r="http://schemas.openxmlformats.org/officeDocument/2006/relationships" r:embed="rId3"/>
        <a:stretch>
          <a:fillRect/>
        </a:stretch>
      </xdr:blipFill>
      <xdr:spPr>
        <a:xfrm>
          <a:off x="8128048" y="8302157"/>
          <a:ext cx="6378962" cy="985217"/>
        </a:xfrm>
        <a:prstGeom prst="rect">
          <a:avLst/>
        </a:prstGeom>
      </xdr:spPr>
    </xdr:pic>
    <xdr:clientData/>
  </xdr:twoCellAnchor>
  <xdr:twoCellAnchor>
    <xdr:from>
      <xdr:col>0</xdr:col>
      <xdr:colOff>71717</xdr:colOff>
      <xdr:row>53</xdr:row>
      <xdr:rowOff>5826</xdr:rowOff>
    </xdr:from>
    <xdr:to>
      <xdr:col>3</xdr:col>
      <xdr:colOff>362271</xdr:colOff>
      <xdr:row>57</xdr:row>
      <xdr:rowOff>67857</xdr:rowOff>
    </xdr:to>
    <xdr:pic>
      <xdr:nvPicPr>
        <xdr:cNvPr id="6" name="Picture 5">
          <a:extLst>
            <a:ext uri="{FF2B5EF4-FFF2-40B4-BE49-F238E27FC236}">
              <a16:creationId xmlns:a16="http://schemas.microsoft.com/office/drawing/2014/main" id="{6F707CB1-F8CB-43AF-BF5C-B2838A512B71}"/>
            </a:ext>
          </a:extLst>
        </xdr:cNvPr>
        <xdr:cNvPicPr>
          <a:picLocks noChangeAspect="1"/>
        </xdr:cNvPicPr>
      </xdr:nvPicPr>
      <xdr:blipFill>
        <a:blip xmlns:r="http://schemas.openxmlformats.org/officeDocument/2006/relationships" r:embed="rId4"/>
        <a:stretch>
          <a:fillRect/>
        </a:stretch>
      </xdr:blipFill>
      <xdr:spPr>
        <a:xfrm>
          <a:off x="71717" y="11077238"/>
          <a:ext cx="6252083" cy="74334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ahla.com/sites/default/files/25_SOTI.pdf" TargetMode="External"/><Relationship Id="rId13" Type="http://schemas.openxmlformats.org/officeDocument/2006/relationships/hyperlink" Target="https://2050partners.sharepoint.com/:w:/r/sites/CalBEMCollaborativeEfforts/_layouts/15/Doc.aspx?sourcedoc=%7B3BEF8F74-7FAC-44F2-A70C-D76617660066%7D&amp;file=Infiltration_rate_report_14May2025-Short-Version.docx&amp;wdLOR=c494C5A60-5F8A-438B-874B-578DCB850072&amp;action=default&amp;mobileredirect=true" TargetMode="External"/><Relationship Id="rId3" Type="http://schemas.openxmlformats.org/officeDocument/2006/relationships/hyperlink" Target="https://github.com/sound-data/DEER-Prototypes-EnergyPlus" TargetMode="External"/><Relationship Id="rId7" Type="http://schemas.openxmlformats.org/officeDocument/2006/relationships/hyperlink" Target="https://title24stakeholders.com/wp-content/uploads/2016/10/T24-2019-CASE-Study-Results-Report-Outdoor-Sources_Final_with-Attachments.pdf" TargetMode="External"/><Relationship Id="rId12" Type="http://schemas.openxmlformats.org/officeDocument/2006/relationships/hyperlink" Target="https://www.energycodes.gov/prototype-building-models" TargetMode="External"/><Relationship Id="rId2" Type="http://schemas.openxmlformats.org/officeDocument/2006/relationships/hyperlink" Target="https://www.energycodes.gov/prototype-building-models" TargetMode="External"/><Relationship Id="rId1" Type="http://schemas.openxmlformats.org/officeDocument/2006/relationships/hyperlink" Target="https://bees.noresco.com/software2022.html" TargetMode="External"/><Relationship Id="rId6" Type="http://schemas.openxmlformats.org/officeDocument/2006/relationships/hyperlink" Target="https://title24stakeholders.com/wp-content/uploads/2020/10/2022-T24-Final-CASE-Report_Reduce-Infiltration.pdf" TargetMode="External"/><Relationship Id="rId11" Type="http://schemas.openxmlformats.org/officeDocument/2006/relationships/hyperlink" Target="https://www.pnnl.gov/main/publications/external/technical_reports/PNNL-20405.pdf" TargetMode="External"/><Relationship Id="rId5" Type="http://schemas.openxmlformats.org/officeDocument/2006/relationships/hyperlink" Target="https://prod-edam.honeywell.com/content/dam/honeywell-edam/hbt/en-us/documents/manuals-and-guides/installation-guides/inncom/hbt-bms-INNCOM-e7-USER-GUIDE.pdf?download=false" TargetMode="External"/><Relationship Id="rId15" Type="http://schemas.openxmlformats.org/officeDocument/2006/relationships/drawing" Target="../drawings/drawing1.xml"/><Relationship Id="rId10" Type="http://schemas.openxmlformats.org/officeDocument/2006/relationships/hyperlink" Target="https://www.energy.ca.gov/publications/2022/2022-nonresidential-and-multifamily-alternative-calculation-method-reference" TargetMode="External"/><Relationship Id="rId4" Type="http://schemas.openxmlformats.org/officeDocument/2006/relationships/hyperlink" Target="https://www.energy.gov/eere/buildings/new-construction-commercial-reference-buildings" TargetMode="External"/><Relationship Id="rId9" Type="http://schemas.openxmlformats.org/officeDocument/2006/relationships/hyperlink" Target="https://assets.visitcalifornia.com/media/?mediaId=D0CF4716-DD37-4678-852AB388768DE451&amp;viewType=grid" TargetMode="External"/><Relationship Id="rId14" Type="http://schemas.openxmlformats.org/officeDocument/2006/relationships/hyperlink" Target="https://efiling.energy.ca.gov/GetDocument.aspx?tn=265693&amp;DocumentContentId=102545"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buildingandinteriors.com/find-the-magic-number-elevators-per-building/"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hyperlink" Target="https://2050partners.sharepoint.com/:w:/r/sites/CalBEMCollaborativeEfforts/Shared%20Documents/Working%20Group%201%20-%20Streamlined%20Process/D%20-%20Complexity%20of%20Compliance/Prototype%20Unification/Project%20Development/Phase%202%20(Collect%20Inputs)%20Development/NonRes-Vintage%20bins-Draft%20Report-30Nov2023-Final.docx?d=w8560be34ea9744e086bccf7767b0a3cf&amp;csf=1&amp;web=1&amp;e=tpxacv" TargetMode="External"/></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hyperlink" Target="https://www.ahla.com/sites/default/files/25_SOTI.pdf" TargetMode="External"/><Relationship Id="rId1" Type="http://schemas.openxmlformats.org/officeDocument/2006/relationships/hyperlink" Target="https://assets.visitcalifornia.com/media/?mediaId=D0CF4716-DD37-4678-852AB388768DE451&amp;viewType=grid"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hyperlink" Target="https://2050partners.sharepoint.com/:w:/r/sites/CalBEMCollaborativeEfforts/Shared%20Documents/Working%20Group%201%20-%20Streamlined%20Process/D%20-%20Complexity%20of%20Compliance/Prototype%20Unification/Project%20Development/Phase%202%20(Collect%20Inputs)%20Development/NR/Air%20Leakage%20Memo/Infiltration_rate_report_14May2025-Short-Version.docx?d=w3bef8f747fac44f2a70cd76617660066&amp;csf=1&amp;web=1&amp;e=wh5Dm4" TargetMode="External"/><Relationship Id="rId2" Type="http://schemas.openxmlformats.org/officeDocument/2006/relationships/hyperlink" Target="https://title24stakeholders.com/wp-content/uploads/2020/10/2022-T24-Final-CASE-Report_Reduce-Infiltration.pdf" TargetMode="External"/><Relationship Id="rId1" Type="http://schemas.openxmlformats.org/officeDocument/2006/relationships/hyperlink" Target="https://title24stakeholders.com/wp-content/uploads/2020/10/2022-T24-Final-CASE-Report_Reduce-Infiltration.pdf" TargetMode="External"/><Relationship Id="rId6" Type="http://schemas.openxmlformats.org/officeDocument/2006/relationships/comments" Target="../comments1.xml"/><Relationship Id="rId5" Type="http://schemas.openxmlformats.org/officeDocument/2006/relationships/vmlDrawing" Target="../drawings/vmlDrawing1.vm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hyperlink" Target="https://www.pnnl.gov/main/publications/external/technical_reports/PNNL-26917.pdf" TargetMode="External"/><Relationship Id="rId2" Type="http://schemas.openxmlformats.org/officeDocument/2006/relationships/hyperlink" Target="https://www1.eere.energy.gov/buildings/appliance_standards/pdfs/ashrae_final_rule_tsd_04_energy_use_2012_05_02.pdf" TargetMode="External"/><Relationship Id="rId1" Type="http://schemas.openxmlformats.org/officeDocument/2006/relationships/hyperlink" Target="https://www.pnnl.gov/main/publications/external/technical_reports/PNNL-25130.pdf" TargetMode="External"/><Relationship Id="rId6" Type="http://schemas.openxmlformats.org/officeDocument/2006/relationships/drawing" Target="../drawings/drawing5.xml"/><Relationship Id="rId5" Type="http://schemas.openxmlformats.org/officeDocument/2006/relationships/printerSettings" Target="../printerSettings/printerSettings3.bin"/><Relationship Id="rId4" Type="http://schemas.openxmlformats.org/officeDocument/2006/relationships/hyperlink" Target="https://www.pnnl.gov/main/publications/external/technical_reports/PNNL-20405.pdf?__hstc=249664665.fbb1d69ca5f15106a530bcaee71fdf4a.1743465130773.1743546227524.1752085571925.3&amp;__hssc=249664665.1.1752085571925&amp;__hsfp=2216781724"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65BDF-3C17-4869-B954-111AEEDC46EB}">
  <sheetPr codeName="Sheet4"/>
  <dimension ref="A1:N92"/>
  <sheetViews>
    <sheetView topLeftCell="A20" zoomScaleNormal="100" workbookViewId="0">
      <selection activeCell="F28" sqref="F28"/>
    </sheetView>
  </sheetViews>
  <sheetFormatPr defaultColWidth="9.28515625" defaultRowHeight="13.15"/>
  <cols>
    <col min="1" max="1" width="14.7109375" style="10" customWidth="1"/>
    <col min="2" max="2" width="92.28515625" style="10" customWidth="1"/>
    <col min="3" max="3" width="34" style="10" customWidth="1"/>
    <col min="4" max="5" width="9.28515625" style="10"/>
    <col min="6" max="6" width="46.7109375" style="10" customWidth="1"/>
    <col min="7" max="7" width="9.28515625" style="10"/>
    <col min="8" max="8" width="21.7109375" style="10" customWidth="1"/>
    <col min="9" max="9" width="10.7109375" style="10" customWidth="1"/>
    <col min="10" max="10" width="9.7109375" style="10" customWidth="1"/>
    <col min="11" max="11" width="9.7109375" style="10" bestFit="1" customWidth="1"/>
    <col min="12" max="16384" width="9.28515625" style="10"/>
  </cols>
  <sheetData>
    <row r="1" spans="1:7" ht="20.45" customHeight="1">
      <c r="A1" s="843" t="s">
        <v>0</v>
      </c>
      <c r="B1" s="843"/>
      <c r="C1" s="843"/>
    </row>
    <row r="2" spans="1:7">
      <c r="A2" s="846" t="s">
        <v>1</v>
      </c>
      <c r="B2" s="10" t="s">
        <v>2</v>
      </c>
    </row>
    <row r="3" spans="1:7">
      <c r="A3" s="846"/>
      <c r="B3" s="10" t="s">
        <v>3</v>
      </c>
    </row>
    <row r="4" spans="1:7">
      <c r="A4" s="846"/>
      <c r="B4" s="10" t="s">
        <v>4</v>
      </c>
    </row>
    <row r="5" spans="1:7">
      <c r="A5" s="846"/>
      <c r="D5" s="10" t="s">
        <v>5</v>
      </c>
    </row>
    <row r="6" spans="1:7" ht="14.45">
      <c r="A6" s="846" t="s">
        <v>6</v>
      </c>
      <c r="B6" s="10" t="s">
        <v>7</v>
      </c>
      <c r="C6" s="390" t="s">
        <v>8</v>
      </c>
      <c r="D6" s="10" t="s">
        <v>5</v>
      </c>
      <c r="E6" s="390"/>
      <c r="F6" s="390"/>
    </row>
    <row r="7" spans="1:7" ht="14.45">
      <c r="A7" s="846"/>
      <c r="B7" s="10" t="s">
        <v>9</v>
      </c>
      <c r="C7" s="390" t="s">
        <v>10</v>
      </c>
      <c r="D7" s="10" t="s">
        <v>5</v>
      </c>
    </row>
    <row r="8" spans="1:7" ht="14.45">
      <c r="A8" s="846"/>
      <c r="B8" s="10" t="s">
        <v>11</v>
      </c>
      <c r="C8" s="390" t="s">
        <v>12</v>
      </c>
      <c r="D8" s="10" t="s">
        <v>5</v>
      </c>
    </row>
    <row r="9" spans="1:7" ht="14.45">
      <c r="A9" s="846"/>
      <c r="B9" s="10" t="s">
        <v>13</v>
      </c>
      <c r="C9" s="390" t="s">
        <v>14</v>
      </c>
      <c r="D9" s="10" t="s">
        <v>5</v>
      </c>
    </row>
    <row r="10" spans="1:7">
      <c r="A10" s="846" t="s">
        <v>15</v>
      </c>
      <c r="B10" s="10" t="s">
        <v>16</v>
      </c>
      <c r="D10" s="10" t="s">
        <v>5</v>
      </c>
    </row>
    <row r="11" spans="1:7">
      <c r="A11" s="846"/>
      <c r="B11" s="10" t="s">
        <v>17</v>
      </c>
      <c r="D11" s="10" t="s">
        <v>5</v>
      </c>
    </row>
    <row r="12" spans="1:7">
      <c r="A12" s="846"/>
      <c r="D12" s="10" t="s">
        <v>5</v>
      </c>
    </row>
    <row r="13" spans="1:7">
      <c r="A13" s="846" t="s">
        <v>18</v>
      </c>
      <c r="B13" s="10" t="s">
        <v>19</v>
      </c>
      <c r="D13" s="10" t="s">
        <v>5</v>
      </c>
    </row>
    <row r="14" spans="1:7" ht="14.45">
      <c r="A14" s="846"/>
      <c r="B14" s="10" t="s">
        <v>20</v>
      </c>
      <c r="C14" s="390" t="s">
        <v>21</v>
      </c>
      <c r="D14" s="10" t="s">
        <v>5</v>
      </c>
      <c r="G14" s="10" t="s">
        <v>5</v>
      </c>
    </row>
    <row r="15" spans="1:7" ht="14.45">
      <c r="A15" s="846"/>
      <c r="B15" s="15" t="s">
        <v>22</v>
      </c>
      <c r="C15" s="390" t="s">
        <v>23</v>
      </c>
      <c r="D15" s="10" t="s">
        <v>5</v>
      </c>
    </row>
    <row r="16" spans="1:7" ht="14.45">
      <c r="A16" s="846"/>
      <c r="B16" s="10" t="s">
        <v>24</v>
      </c>
      <c r="C16" s="390" t="s">
        <v>25</v>
      </c>
      <c r="D16" s="10" t="s">
        <v>5</v>
      </c>
    </row>
    <row r="17" spans="1:14" ht="14.45">
      <c r="A17" s="846"/>
      <c r="B17" s="10" t="s">
        <v>26</v>
      </c>
      <c r="C17" s="390" t="s">
        <v>27</v>
      </c>
      <c r="D17" s="10" t="s">
        <v>5</v>
      </c>
    </row>
    <row r="18" spans="1:14" ht="14.45">
      <c r="A18" s="846"/>
      <c r="B18" s="10" t="s">
        <v>28</v>
      </c>
      <c r="C18" s="390" t="s">
        <v>29</v>
      </c>
      <c r="D18" s="10" t="s">
        <v>5</v>
      </c>
      <c r="E18" s="390"/>
      <c r="F18" s="390"/>
    </row>
    <row r="19" spans="1:14" ht="14.45">
      <c r="A19" s="846"/>
      <c r="B19" s="10" t="s">
        <v>30</v>
      </c>
      <c r="C19" s="390" t="s">
        <v>31</v>
      </c>
      <c r="D19" s="10" t="s">
        <v>5</v>
      </c>
      <c r="E19" s="390"/>
      <c r="F19" s="390"/>
    </row>
    <row r="20" spans="1:14" ht="14.45">
      <c r="A20" s="846"/>
      <c r="B20" s="10" t="s">
        <v>32</v>
      </c>
      <c r="C20" s="390" t="s">
        <v>33</v>
      </c>
      <c r="D20" s="10" t="s">
        <v>5</v>
      </c>
    </row>
    <row r="21" spans="1:14" ht="14.45">
      <c r="A21" s="846"/>
      <c r="B21" s="10" t="s">
        <v>34</v>
      </c>
      <c r="C21" s="390" t="s">
        <v>35</v>
      </c>
      <c r="D21" s="10" t="s">
        <v>5</v>
      </c>
      <c r="E21" s="390"/>
      <c r="F21" s="390"/>
    </row>
    <row r="22" spans="1:14" ht="27" customHeight="1">
      <c r="A22" s="846"/>
      <c r="B22" s="15" t="s">
        <v>36</v>
      </c>
      <c r="C22" s="562" t="s">
        <v>37</v>
      </c>
      <c r="D22" s="10" t="s">
        <v>5</v>
      </c>
    </row>
    <row r="23" spans="1:14">
      <c r="A23" s="12"/>
    </row>
    <row r="24" spans="1:14" ht="18.600000000000001" customHeight="1">
      <c r="A24" s="843" t="s">
        <v>38</v>
      </c>
      <c r="B24" s="843"/>
      <c r="C24" s="843"/>
      <c r="K24" s="847"/>
      <c r="L24" s="847"/>
      <c r="M24" s="847"/>
      <c r="N24" s="847"/>
    </row>
    <row r="25" spans="1:14">
      <c r="C25" s="779"/>
      <c r="D25" s="779"/>
      <c r="E25" s="779"/>
      <c r="F25" s="779"/>
    </row>
    <row r="26" spans="1:14">
      <c r="C26" s="779"/>
      <c r="D26" s="779"/>
      <c r="E26" s="779"/>
      <c r="F26" s="779"/>
    </row>
    <row r="27" spans="1:14" ht="14.45">
      <c r="A27"/>
      <c r="C27" s="779"/>
      <c r="D27" s="779"/>
      <c r="E27" s="779"/>
      <c r="F27" s="779"/>
    </row>
    <row r="28" spans="1:14">
      <c r="C28" s="779"/>
      <c r="D28" s="779"/>
      <c r="E28" s="779"/>
      <c r="F28" s="779"/>
    </row>
    <row r="29" spans="1:14">
      <c r="C29" s="779"/>
      <c r="D29" s="779"/>
      <c r="E29" s="779"/>
      <c r="F29" s="779"/>
    </row>
    <row r="30" spans="1:14">
      <c r="C30" s="779"/>
      <c r="D30" s="779"/>
      <c r="E30" s="779"/>
      <c r="F30" s="779"/>
    </row>
    <row r="31" spans="1:14">
      <c r="C31" s="779"/>
      <c r="D31" s="779"/>
      <c r="E31" s="779"/>
      <c r="F31" s="779"/>
    </row>
    <row r="32" spans="1:14">
      <c r="C32" s="779"/>
      <c r="D32" s="779"/>
      <c r="E32" s="779"/>
      <c r="F32" s="779"/>
    </row>
    <row r="33" spans="1:11">
      <c r="C33" s="779"/>
      <c r="D33" s="779"/>
      <c r="E33" s="779"/>
      <c r="F33" s="779"/>
    </row>
    <row r="34" spans="1:11">
      <c r="C34" s="779"/>
      <c r="D34" s="779"/>
      <c r="E34" s="779"/>
      <c r="F34" s="779"/>
    </row>
    <row r="35" spans="1:11">
      <c r="C35" s="779"/>
      <c r="D35" s="779"/>
      <c r="E35" s="779"/>
      <c r="F35" s="779"/>
    </row>
    <row r="36" spans="1:11">
      <c r="C36" s="779"/>
      <c r="D36" s="779"/>
      <c r="E36" s="779"/>
      <c r="F36" s="779"/>
    </row>
    <row r="37" spans="1:11" ht="19.149999999999999" customHeight="1">
      <c r="A37" s="843" t="s">
        <v>39</v>
      </c>
      <c r="B37" s="843"/>
      <c r="C37" s="843"/>
    </row>
    <row r="38" spans="1:11" ht="14.65" customHeight="1">
      <c r="A38" s="10" t="s">
        <v>40</v>
      </c>
      <c r="B38" s="845" t="s">
        <v>41</v>
      </c>
      <c r="C38" s="845"/>
      <c r="H38" s="272"/>
      <c r="I38" s="12"/>
      <c r="J38" s="12"/>
      <c r="K38" s="12"/>
    </row>
    <row r="39" spans="1:11" ht="66">
      <c r="A39" s="780" t="s">
        <v>42</v>
      </c>
      <c r="B39" s="844" t="s">
        <v>43</v>
      </c>
      <c r="C39" s="844"/>
      <c r="D39" s="272"/>
      <c r="E39" s="272"/>
      <c r="F39" s="272"/>
    </row>
    <row r="40" spans="1:11" ht="24.6" customHeight="1">
      <c r="A40" s="842" t="s">
        <v>44</v>
      </c>
      <c r="B40" s="842" t="s">
        <v>45</v>
      </c>
      <c r="C40" s="842"/>
      <c r="D40" s="271"/>
      <c r="E40" s="271"/>
      <c r="F40" s="271"/>
    </row>
    <row r="41" spans="1:11" ht="34.9" customHeight="1">
      <c r="A41" s="842"/>
      <c r="B41" s="842" t="s">
        <v>46</v>
      </c>
      <c r="C41" s="842"/>
      <c r="D41" s="271"/>
      <c r="E41" s="271"/>
      <c r="F41" s="271"/>
    </row>
    <row r="42" spans="1:11" ht="52.9" customHeight="1">
      <c r="A42" s="842" t="s">
        <v>47</v>
      </c>
      <c r="B42" s="842" t="s">
        <v>48</v>
      </c>
      <c r="C42" s="842"/>
      <c r="D42" s="271"/>
      <c r="E42" s="271"/>
      <c r="F42" s="271"/>
    </row>
    <row r="43" spans="1:11" ht="39.6" customHeight="1">
      <c r="A43" s="842"/>
      <c r="B43" s="842" t="s">
        <v>49</v>
      </c>
      <c r="C43" s="842"/>
      <c r="D43" s="271"/>
      <c r="E43" s="271"/>
      <c r="F43" s="271"/>
    </row>
    <row r="46" spans="1:11">
      <c r="A46" s="10" t="s">
        <v>50</v>
      </c>
    </row>
    <row r="60" spans="1:1">
      <c r="A60" s="109"/>
    </row>
    <row r="89" spans="1:3">
      <c r="A89" s="10" t="s">
        <v>51</v>
      </c>
    </row>
    <row r="91" spans="1:3">
      <c r="A91" s="11" t="s">
        <v>52</v>
      </c>
    </row>
    <row r="92" spans="1:3" ht="57.6" customHeight="1">
      <c r="A92" s="841" t="s">
        <v>53</v>
      </c>
      <c r="B92" s="841"/>
      <c r="C92" s="841"/>
    </row>
  </sheetData>
  <mergeCells count="17">
    <mergeCell ref="A13:A22"/>
    <mergeCell ref="K24:N24"/>
    <mergeCell ref="A1:C1"/>
    <mergeCell ref="A24:C24"/>
    <mergeCell ref="A2:A5"/>
    <mergeCell ref="A6:A9"/>
    <mergeCell ref="A10:A12"/>
    <mergeCell ref="A37:C37"/>
    <mergeCell ref="B39:C39"/>
    <mergeCell ref="A42:A43"/>
    <mergeCell ref="B38:C38"/>
    <mergeCell ref="B41:C41"/>
    <mergeCell ref="A92:C92"/>
    <mergeCell ref="A40:A41"/>
    <mergeCell ref="B42:C42"/>
    <mergeCell ref="B43:C43"/>
    <mergeCell ref="B40:C40"/>
  </mergeCells>
  <hyperlinks>
    <hyperlink ref="C9" r:id="rId1" xr:uid="{BE11EEF8-3AF7-48F0-A38B-7309CE5A9491}"/>
    <hyperlink ref="C6" r:id="rId2" location="Commercial" xr:uid="{626A4776-C2FA-489E-88C0-BC9C7C8EA36F}"/>
    <hyperlink ref="C7" r:id="rId3" xr:uid="{0DEB00BB-3A26-4527-9ED4-40D17F93A579}"/>
    <hyperlink ref="C8" r:id="rId4" xr:uid="{4BC86F15-8C50-4742-8C71-A865BF5F11A2}"/>
    <hyperlink ref="C16" r:id="rId5" xr:uid="{04B214B0-D1EF-43D9-99EA-E2B5A58706FC}"/>
    <hyperlink ref="C15" r:id="rId6" xr:uid="{0A919F05-344F-4CD0-A992-BA1E6643949E}"/>
    <hyperlink ref="C17" r:id="rId7" xr:uid="{9A4DF7C8-064C-483B-81BE-83DC6EA85310}"/>
    <hyperlink ref="C19" r:id="rId8" xr:uid="{1B5F2BF4-D097-4159-8662-5B04A5E07B5E}"/>
    <hyperlink ref="C18" r:id="rId9" xr:uid="{C5B793FB-180C-4379-9E70-7CCCC1C8123E}"/>
    <hyperlink ref="C14" r:id="rId10" xr:uid="{0036A300-528A-4388-A1AE-34A1E55D7328}"/>
    <hyperlink ref="C20" r:id="rId11" xr:uid="{6EE0B95B-118A-490E-8921-252C95E1AA67}"/>
    <hyperlink ref="C6:F6" r:id="rId12" location="Commercial" display="https://www.energycodes.gov/prototype-building-models#Commercial" xr:uid="{9A9C9132-1C0B-4D73-8E75-0A3F1F89AE2E}"/>
    <hyperlink ref="C21:F21" r:id="rId13" display="Infiltration_rate_report_14May2025-Short-Version.docx" xr:uid="{FF852F19-F2F1-48BA-816F-5FECE5DF9388}"/>
    <hyperlink ref="C22" r:id="rId14" xr:uid="{2E621127-16DF-4D45-A1AF-DB457B672E50}"/>
  </hyperlinks>
  <pageMargins left="0.7" right="0.7" top="0.75" bottom="0.75" header="0.3" footer="0.3"/>
  <drawing r:id="rId1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A98FA8-1D97-4D12-96EB-6911ACEC625A}">
  <sheetPr codeName="Sheet18"/>
  <dimension ref="A1:H60"/>
  <sheetViews>
    <sheetView zoomScale="85" zoomScaleNormal="85" workbookViewId="0">
      <selection activeCell="D22" sqref="D22"/>
    </sheetView>
  </sheetViews>
  <sheetFormatPr defaultColWidth="8.7109375" defaultRowHeight="13.15"/>
  <cols>
    <col min="1" max="1" width="35.7109375" style="10" customWidth="1"/>
    <col min="2" max="2" width="48.42578125" style="10" customWidth="1"/>
    <col min="3" max="3" width="17.85546875" style="10" customWidth="1"/>
    <col min="4" max="4" width="34.28515625" style="10" customWidth="1"/>
    <col min="5" max="5" width="31.28515625" style="10" customWidth="1"/>
    <col min="6" max="6" width="19.28515625" style="10" customWidth="1"/>
    <col min="7" max="7" width="21.28515625" style="10" customWidth="1"/>
    <col min="8" max="8" width="17.5703125" style="10" customWidth="1"/>
    <col min="9" max="9" width="15.5703125" style="10" customWidth="1"/>
    <col min="10" max="10" width="13.28515625" style="10" customWidth="1"/>
    <col min="11" max="16384" width="8.7109375" style="10"/>
  </cols>
  <sheetData>
    <row r="1" spans="1:8" ht="25.15" customHeight="1">
      <c r="A1" s="990" t="str">
        <f>"Exterior Lighting - "&amp;Prototype!A2</f>
        <v>Exterior Lighting - HotelLarge</v>
      </c>
      <c r="B1" s="990"/>
      <c r="C1" s="990"/>
      <c r="D1" s="990"/>
    </row>
    <row r="2" spans="1:8" ht="24.6" customHeight="1">
      <c r="A2" s="36" t="s">
        <v>624</v>
      </c>
      <c r="B2" s="36" t="s">
        <v>625</v>
      </c>
      <c r="C2" s="36" t="s">
        <v>626</v>
      </c>
      <c r="D2" s="36" t="s">
        <v>233</v>
      </c>
    </row>
    <row r="3" spans="1:8" ht="44.45" customHeight="1">
      <c r="A3" s="38">
        <f>G16</f>
        <v>3743.0268853690641</v>
      </c>
      <c r="B3" s="38">
        <f>G17</f>
        <v>1184.744511058602</v>
      </c>
      <c r="C3" s="38">
        <f>B3+A3</f>
        <v>4927.7713964276663</v>
      </c>
      <c r="D3" s="797" t="s">
        <v>627</v>
      </c>
    </row>
    <row r="4" spans="1:8" ht="16.149999999999999" customHeight="1">
      <c r="A4" s="50"/>
      <c r="B4" s="50"/>
      <c r="C4" s="50"/>
      <c r="D4" s="50"/>
    </row>
    <row r="5" spans="1:8" ht="15.6" customHeight="1">
      <c r="A5" s="251"/>
      <c r="B5" s="251"/>
      <c r="C5" s="251"/>
      <c r="D5" s="251"/>
      <c r="E5" s="251"/>
    </row>
    <row r="6" spans="1:8">
      <c r="A6" s="147"/>
      <c r="B6" s="147"/>
      <c r="C6" s="147"/>
      <c r="D6" s="147"/>
      <c r="E6" s="146"/>
    </row>
    <row r="8" spans="1:8" ht="27" customHeight="1">
      <c r="A8" s="990" t="s">
        <v>628</v>
      </c>
      <c r="B8" s="990"/>
      <c r="C8" s="990"/>
      <c r="D8" s="990"/>
      <c r="E8" s="990"/>
      <c r="F8" s="990"/>
      <c r="G8" s="990"/>
    </row>
    <row r="9" spans="1:8" ht="39.6">
      <c r="A9" s="250" t="s">
        <v>629</v>
      </c>
      <c r="B9" s="994" t="s">
        <v>630</v>
      </c>
      <c r="C9" s="995"/>
      <c r="D9" s="444" t="s">
        <v>631</v>
      </c>
      <c r="E9" s="444" t="s">
        <v>632</v>
      </c>
      <c r="F9" s="444" t="s">
        <v>631</v>
      </c>
      <c r="G9" s="444" t="s">
        <v>633</v>
      </c>
    </row>
    <row r="10" spans="1:8" ht="15.6" customHeight="1">
      <c r="A10" s="17" t="s">
        <v>634</v>
      </c>
      <c r="B10" s="17"/>
      <c r="C10" s="259"/>
      <c r="D10" s="798"/>
      <c r="E10" s="798">
        <v>200</v>
      </c>
      <c r="F10" s="798" t="s">
        <v>635</v>
      </c>
      <c r="G10" s="331">
        <f>$E10</f>
        <v>200</v>
      </c>
      <c r="H10" s="272"/>
    </row>
    <row r="11" spans="1:8" ht="30.6" customHeight="1">
      <c r="A11" s="18" t="s">
        <v>636</v>
      </c>
      <c r="B11" s="18" t="s">
        <v>637</v>
      </c>
      <c r="C11" s="249">
        <f>B23/360*400</f>
        <v>171023.03342635254</v>
      </c>
      <c r="D11" s="798" t="s">
        <v>638</v>
      </c>
      <c r="E11" s="798">
        <v>1.9E-2</v>
      </c>
      <c r="F11" s="798" t="s">
        <v>639</v>
      </c>
      <c r="G11" s="331">
        <f>$E11*C11</f>
        <v>3249.4376351006981</v>
      </c>
      <c r="H11" s="248"/>
    </row>
    <row r="12" spans="1:8" ht="16.899999999999999" customHeight="1">
      <c r="A12" s="17" t="s">
        <v>640</v>
      </c>
      <c r="B12" s="332" t="s">
        <v>641</v>
      </c>
      <c r="C12" s="333">
        <f>2</f>
        <v>2</v>
      </c>
      <c r="D12" s="798" t="s">
        <v>642</v>
      </c>
      <c r="E12" s="798">
        <v>15</v>
      </c>
      <c r="F12" s="798" t="s">
        <v>643</v>
      </c>
      <c r="G12" s="331">
        <f>E12*2</f>
        <v>30</v>
      </c>
    </row>
    <row r="13" spans="1:8" ht="26.45">
      <c r="A13" s="17" t="s">
        <v>644</v>
      </c>
      <c r="B13" s="332" t="s">
        <v>645</v>
      </c>
      <c r="C13" s="335">
        <f>B23*0.1</f>
        <v>15392.07300837173</v>
      </c>
      <c r="D13" s="798" t="s">
        <v>638</v>
      </c>
      <c r="E13" s="798">
        <v>7.0000000000000001E-3</v>
      </c>
      <c r="F13" s="798" t="s">
        <v>639</v>
      </c>
      <c r="G13" s="334">
        <f>E13*C13</f>
        <v>107.74451105860211</v>
      </c>
    </row>
    <row r="14" spans="1:8" ht="92.45">
      <c r="A14" s="17" t="s">
        <v>646</v>
      </c>
      <c r="B14" s="332" t="s">
        <v>647</v>
      </c>
      <c r="C14" s="335">
        <f>B22*0.5*30</f>
        <v>10770</v>
      </c>
      <c r="D14" s="798" t="s">
        <v>638</v>
      </c>
      <c r="E14" s="798">
        <v>0.1</v>
      </c>
      <c r="F14" s="798" t="s">
        <v>639</v>
      </c>
      <c r="G14" s="334">
        <f>E14*C14</f>
        <v>1077</v>
      </c>
    </row>
    <row r="15" spans="1:8" ht="15.6" customHeight="1">
      <c r="A15" s="336" t="s">
        <v>648</v>
      </c>
      <c r="B15" s="337"/>
      <c r="C15" s="338">
        <f>(B23/B24)*0.1</f>
        <v>1924.0091260464662</v>
      </c>
      <c r="D15" s="833" t="s">
        <v>638</v>
      </c>
      <c r="E15" s="833">
        <v>0.13700000000000001</v>
      </c>
      <c r="F15" s="833" t="s">
        <v>639</v>
      </c>
      <c r="G15" s="334">
        <f>E15*C15</f>
        <v>263.5892502683659</v>
      </c>
    </row>
    <row r="16" spans="1:8" ht="15.6" customHeight="1">
      <c r="A16" s="991" t="s">
        <v>649</v>
      </c>
      <c r="B16" s="991"/>
      <c r="C16" s="991"/>
      <c r="D16" s="991"/>
      <c r="E16" s="991"/>
      <c r="F16" s="991"/>
      <c r="G16" s="339">
        <f>G11+G10+G15+G12</f>
        <v>3743.0268853690641</v>
      </c>
    </row>
    <row r="17" spans="1:8" ht="15.6" customHeight="1">
      <c r="A17" s="991" t="s">
        <v>650</v>
      </c>
      <c r="B17" s="991"/>
      <c r="C17" s="991"/>
      <c r="D17" s="991"/>
      <c r="E17" s="991"/>
      <c r="F17" s="991"/>
      <c r="G17" s="339">
        <f>G13+G14</f>
        <v>1184.744511058602</v>
      </c>
    </row>
    <row r="18" spans="1:8" ht="15.6" customHeight="1">
      <c r="A18" s="991" t="s">
        <v>591</v>
      </c>
      <c r="B18" s="991"/>
      <c r="C18" s="991"/>
      <c r="D18" s="991"/>
      <c r="E18" s="991"/>
      <c r="F18" s="991"/>
      <c r="G18" s="339">
        <f>G16+G17</f>
        <v>4927.7713964276663</v>
      </c>
    </row>
    <row r="19" spans="1:8" ht="14.45">
      <c r="A19" s="115"/>
      <c r="B19" s="115"/>
      <c r="C19" s="115"/>
      <c r="D19" s="115"/>
      <c r="E19" s="115"/>
      <c r="F19" s="115"/>
      <c r="G19" s="253"/>
    </row>
    <row r="20" spans="1:8" ht="14.45">
      <c r="A20" s="10" t="s">
        <v>651</v>
      </c>
      <c r="C20" s="779"/>
      <c r="D20" s="70"/>
      <c r="F20" s="247"/>
    </row>
    <row r="21" spans="1:8" ht="14.45">
      <c r="C21" s="779"/>
      <c r="D21" s="70"/>
      <c r="F21" s="247"/>
    </row>
    <row r="22" spans="1:8" ht="14.45">
      <c r="A22" s="10" t="s">
        <v>652</v>
      </c>
      <c r="B22" s="781">
        <f>(284+75)*2</f>
        <v>718</v>
      </c>
      <c r="C22" s="779"/>
      <c r="D22" s="70"/>
      <c r="F22" s="247"/>
    </row>
    <row r="23" spans="1:8" ht="14.45">
      <c r="A23" s="10" t="s">
        <v>112</v>
      </c>
      <c r="B23" s="252">
        <f>Zones!G28</f>
        <v>153920.7300837173</v>
      </c>
      <c r="D23" s="70"/>
      <c r="F23" s="247"/>
    </row>
    <row r="24" spans="1:8" ht="14.45">
      <c r="A24" s="10" t="s">
        <v>653</v>
      </c>
      <c r="B24" s="781">
        <v>8</v>
      </c>
      <c r="D24" s="70"/>
      <c r="F24" s="247"/>
    </row>
    <row r="25" spans="1:8" ht="14.45">
      <c r="A25"/>
      <c r="B25"/>
      <c r="D25" s="70"/>
      <c r="F25" s="247"/>
    </row>
    <row r="26" spans="1:8" ht="14.45">
      <c r="A26"/>
      <c r="B26"/>
      <c r="D26" s="70"/>
      <c r="F26" s="247"/>
    </row>
    <row r="28" spans="1:8" s="24" customFormat="1" ht="13.15" hidden="1" customHeight="1">
      <c r="A28" s="24" t="s">
        <v>95</v>
      </c>
      <c r="F28" s="25"/>
      <c r="G28" s="26"/>
      <c r="H28" s="27"/>
    </row>
    <row r="29" spans="1:8" hidden="1"/>
    <row r="30" spans="1:8" hidden="1"/>
    <row r="31" spans="1:8" hidden="1">
      <c r="A31" s="151" t="s">
        <v>654</v>
      </c>
    </row>
    <row r="32" spans="1:8" hidden="1">
      <c r="A32" s="992" t="s">
        <v>655</v>
      </c>
      <c r="B32" s="993"/>
    </row>
    <row r="33" spans="1:3" hidden="1">
      <c r="A33" s="148" t="s">
        <v>656</v>
      </c>
      <c r="B33" s="150" t="s">
        <v>657</v>
      </c>
    </row>
    <row r="34" spans="1:3" hidden="1">
      <c r="A34" s="149">
        <v>9571</v>
      </c>
      <c r="B34" s="149" t="s">
        <v>658</v>
      </c>
    </row>
    <row r="35" spans="1:3" hidden="1">
      <c r="A35" s="779"/>
      <c r="B35" s="779"/>
    </row>
    <row r="36" spans="1:3" hidden="1">
      <c r="B36" s="779"/>
      <c r="C36" s="779"/>
    </row>
    <row r="37" spans="1:3" hidden="1"/>
    <row r="38" spans="1:3" hidden="1"/>
    <row r="39" spans="1:3" hidden="1">
      <c r="A39" s="11" t="s">
        <v>659</v>
      </c>
    </row>
    <row r="40" spans="1:3" hidden="1"/>
    <row r="41" spans="1:3" hidden="1"/>
    <row r="42" spans="1:3" hidden="1"/>
    <row r="43" spans="1:3" hidden="1"/>
    <row r="44" spans="1:3" hidden="1"/>
    <row r="45" spans="1:3" hidden="1"/>
    <row r="46" spans="1:3" hidden="1"/>
    <row r="47" spans="1:3" hidden="1"/>
    <row r="48" spans="1:3" hidden="1"/>
    <row r="49" hidden="1"/>
    <row r="50" hidden="1"/>
    <row r="51" hidden="1"/>
    <row r="52" hidden="1"/>
    <row r="53" hidden="1"/>
    <row r="54" hidden="1"/>
    <row r="55" hidden="1"/>
    <row r="56" hidden="1"/>
    <row r="57" hidden="1"/>
    <row r="58" hidden="1"/>
    <row r="59" hidden="1"/>
    <row r="60" hidden="1"/>
  </sheetData>
  <mergeCells count="7">
    <mergeCell ref="A1:D1"/>
    <mergeCell ref="A18:F18"/>
    <mergeCell ref="A17:F17"/>
    <mergeCell ref="A16:F16"/>
    <mergeCell ref="A32:B32"/>
    <mergeCell ref="A8:G8"/>
    <mergeCell ref="B9:C9"/>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519C81-B0B9-4AE9-9154-3628732CA590}">
  <sheetPr codeName="Sheet9"/>
  <dimension ref="A1:N51"/>
  <sheetViews>
    <sheetView workbookViewId="0">
      <selection sqref="A1:F1"/>
    </sheetView>
  </sheetViews>
  <sheetFormatPr defaultColWidth="8.7109375" defaultRowHeight="13.15"/>
  <cols>
    <col min="1" max="1" width="50.28515625" style="10" customWidth="1"/>
    <col min="2" max="2" width="36.7109375" style="10" customWidth="1"/>
    <col min="3" max="3" width="26.140625" style="10" customWidth="1"/>
    <col min="4" max="4" width="26.7109375" style="10" customWidth="1"/>
    <col min="5" max="5" width="20.7109375" style="10" customWidth="1"/>
    <col min="6" max="6" width="36.5703125" style="10" customWidth="1"/>
    <col min="7" max="7" width="33.28515625" style="10" customWidth="1"/>
    <col min="8" max="8" width="31" style="10" customWidth="1"/>
    <col min="9" max="9" width="18.7109375" style="10" customWidth="1"/>
    <col min="10" max="11" width="14.28515625" style="10" customWidth="1"/>
    <col min="12" max="12" width="15" style="10" customWidth="1"/>
    <col min="13" max="13" width="16.140625" style="10" customWidth="1"/>
    <col min="14" max="14" width="16.28515625" style="10" customWidth="1"/>
    <col min="15" max="15" width="10.7109375" style="10" bestFit="1" customWidth="1"/>
    <col min="16" max="16" width="10.5703125" style="10" bestFit="1" customWidth="1"/>
    <col min="17" max="16384" width="8.7109375" style="10"/>
  </cols>
  <sheetData>
    <row r="1" spans="1:11" ht="27" customHeight="1">
      <c r="A1" s="990" t="str">
        <f>"Equipment - "&amp;Prototype!A2</f>
        <v>Equipment - HotelLarge</v>
      </c>
      <c r="B1" s="990"/>
      <c r="C1" s="990"/>
      <c r="D1" s="990"/>
      <c r="E1" s="990"/>
      <c r="F1" s="990"/>
      <c r="G1" s="53"/>
    </row>
    <row r="2" spans="1:11" ht="40.9" customHeight="1">
      <c r="A2" s="815" t="s">
        <v>167</v>
      </c>
      <c r="B2" s="222" t="s">
        <v>660</v>
      </c>
      <c r="C2" s="222" t="s">
        <v>661</v>
      </c>
      <c r="D2" s="222" t="s">
        <v>662</v>
      </c>
      <c r="E2" s="222" t="s">
        <v>663</v>
      </c>
      <c r="F2" s="815" t="s">
        <v>233</v>
      </c>
      <c r="G2" s="12"/>
    </row>
    <row r="3" spans="1:11">
      <c r="A3" s="750" t="s">
        <v>179</v>
      </c>
      <c r="B3" s="798">
        <v>1</v>
      </c>
      <c r="C3" s="798"/>
      <c r="D3" s="798">
        <f>Data!H84</f>
        <v>0</v>
      </c>
      <c r="E3" s="798">
        <f>Data!G84</f>
        <v>0</v>
      </c>
      <c r="F3" s="754" t="s">
        <v>664</v>
      </c>
      <c r="G3" s="13"/>
    </row>
    <row r="4" spans="1:11" ht="19.5" customHeight="1">
      <c r="A4" s="751" t="s">
        <v>182</v>
      </c>
      <c r="B4" s="798">
        <v>0.7</v>
      </c>
      <c r="C4" s="798"/>
      <c r="D4" s="798"/>
      <c r="E4" s="798"/>
      <c r="F4" s="754" t="s">
        <v>665</v>
      </c>
      <c r="G4" s="13"/>
    </row>
    <row r="5" spans="1:11">
      <c r="A5" s="752" t="s">
        <v>184</v>
      </c>
      <c r="B5" s="798">
        <v>1.5</v>
      </c>
      <c r="C5" s="798"/>
      <c r="D5" s="798"/>
      <c r="E5" s="798"/>
      <c r="F5" s="754" t="s">
        <v>666</v>
      </c>
      <c r="G5" s="13"/>
    </row>
    <row r="6" spans="1:11" ht="27" customHeight="1">
      <c r="A6" s="174" t="s">
        <v>190</v>
      </c>
      <c r="B6" s="798">
        <v>0.4</v>
      </c>
      <c r="C6" s="798"/>
      <c r="D6" s="798"/>
      <c r="E6" s="798"/>
      <c r="F6" s="754" t="s">
        <v>667</v>
      </c>
      <c r="G6" s="13"/>
      <c r="H6" s="54"/>
      <c r="I6" s="54"/>
      <c r="J6" s="54"/>
      <c r="K6" s="54"/>
    </row>
    <row r="7" spans="1:11" ht="18" customHeight="1">
      <c r="A7" s="174" t="s">
        <v>193</v>
      </c>
      <c r="B7" s="391">
        <v>3</v>
      </c>
      <c r="C7" s="798"/>
      <c r="D7" s="798"/>
      <c r="E7" s="798"/>
      <c r="F7" s="916" t="s">
        <v>664</v>
      </c>
      <c r="G7" s="13"/>
      <c r="H7" s="54"/>
    </row>
    <row r="8" spans="1:11" ht="18" customHeight="1">
      <c r="A8" s="174" t="s">
        <v>187</v>
      </c>
      <c r="B8" s="798">
        <v>0.2</v>
      </c>
      <c r="C8" s="798"/>
      <c r="D8" s="798"/>
      <c r="E8" s="798"/>
      <c r="F8" s="916"/>
      <c r="G8" s="13"/>
      <c r="H8" s="54"/>
    </row>
    <row r="9" spans="1:11" ht="18" customHeight="1">
      <c r="A9" s="174" t="s">
        <v>196</v>
      </c>
      <c r="B9" s="798">
        <v>3</v>
      </c>
      <c r="C9" s="798"/>
      <c r="D9" s="798"/>
      <c r="E9" s="798">
        <v>0.75</v>
      </c>
      <c r="F9" s="916"/>
      <c r="G9" s="13"/>
      <c r="H9" s="54"/>
    </row>
    <row r="10" spans="1:11" ht="18" customHeight="1">
      <c r="A10" s="174" t="s">
        <v>198</v>
      </c>
      <c r="B10" s="798">
        <v>0.5</v>
      </c>
      <c r="C10" s="798"/>
      <c r="D10" s="798"/>
      <c r="E10" s="798"/>
      <c r="F10" s="916" t="s">
        <v>667</v>
      </c>
      <c r="G10" s="13"/>
      <c r="H10" s="54"/>
    </row>
    <row r="11" spans="1:11" ht="18" customHeight="1">
      <c r="A11" s="174" t="s">
        <v>200</v>
      </c>
      <c r="B11" s="798">
        <v>0.5</v>
      </c>
      <c r="C11" s="798"/>
      <c r="D11" s="798"/>
      <c r="E11" s="798"/>
      <c r="F11" s="916"/>
      <c r="G11" s="13"/>
      <c r="H11" s="54"/>
    </row>
    <row r="12" spans="1:11" ht="18" customHeight="1">
      <c r="A12" s="174" t="s">
        <v>204</v>
      </c>
      <c r="B12" s="798">
        <v>0.5</v>
      </c>
      <c r="C12" s="798"/>
      <c r="D12" s="798"/>
      <c r="E12" s="798"/>
      <c r="F12" s="916"/>
      <c r="G12" s="13"/>
      <c r="H12" s="54"/>
    </row>
    <row r="13" spans="1:11" ht="18" customHeight="1">
      <c r="A13" s="174" t="s">
        <v>213</v>
      </c>
      <c r="B13" s="798">
        <v>0</v>
      </c>
      <c r="C13" s="798"/>
      <c r="D13" s="798"/>
      <c r="E13" s="798"/>
      <c r="F13" s="797" t="s">
        <v>664</v>
      </c>
      <c r="G13" s="13"/>
      <c r="H13" s="54"/>
    </row>
    <row r="14" spans="1:11" ht="18" customHeight="1">
      <c r="A14" s="174" t="s">
        <v>218</v>
      </c>
      <c r="B14" s="798">
        <v>0.5</v>
      </c>
      <c r="C14" s="798"/>
      <c r="D14" s="798"/>
      <c r="E14" s="798"/>
      <c r="F14" s="907" t="s">
        <v>668</v>
      </c>
      <c r="G14" s="13"/>
      <c r="H14" s="54"/>
    </row>
    <row r="15" spans="1:11" ht="22.5" customHeight="1">
      <c r="A15" s="174" t="s">
        <v>221</v>
      </c>
      <c r="B15" s="798">
        <v>0.5</v>
      </c>
      <c r="C15" s="798"/>
      <c r="D15" s="798"/>
      <c r="E15" s="798"/>
      <c r="F15" s="908"/>
      <c r="G15" s="13"/>
      <c r="H15" s="54"/>
    </row>
    <row r="16" spans="1:11" ht="22.5" customHeight="1">
      <c r="A16" s="174" t="s">
        <v>224</v>
      </c>
      <c r="B16" s="798">
        <v>1.5</v>
      </c>
      <c r="C16" s="798">
        <f>277.5+156.7</f>
        <v>434.2</v>
      </c>
      <c r="D16" s="798">
        <v>1.1200000000000001</v>
      </c>
      <c r="E16" s="798">
        <v>17.54</v>
      </c>
      <c r="F16" s="909"/>
      <c r="G16" s="13"/>
      <c r="H16" s="19"/>
    </row>
    <row r="17" spans="1:12" ht="18" customHeight="1">
      <c r="A17" s="11"/>
      <c r="B17" s="12"/>
      <c r="C17" s="12"/>
      <c r="D17" s="12"/>
      <c r="E17" s="12"/>
      <c r="F17" s="14"/>
      <c r="G17" s="12"/>
      <c r="H17" s="13"/>
      <c r="I17" s="19"/>
    </row>
    <row r="18" spans="1:12" ht="14.45">
      <c r="A18" s="4"/>
      <c r="B18" s="12"/>
      <c r="C18" s="12"/>
      <c r="D18" s="12"/>
      <c r="E18" s="12"/>
      <c r="F18" s="14"/>
      <c r="G18" s="12"/>
      <c r="H18" s="13"/>
      <c r="I18" s="19"/>
    </row>
    <row r="19" spans="1:12" ht="18" customHeight="1">
      <c r="A19" s="990" t="s">
        <v>669</v>
      </c>
      <c r="B19" s="990"/>
      <c r="C19" s="990"/>
      <c r="D19" s="990"/>
      <c r="E19" s="990"/>
      <c r="F19" s="990"/>
      <c r="G19" s="13"/>
      <c r="H19" s="13"/>
      <c r="I19" s="19"/>
    </row>
    <row r="20" spans="1:12" ht="18" customHeight="1">
      <c r="A20" s="815" t="s">
        <v>62</v>
      </c>
      <c r="B20" s="815" t="s">
        <v>670</v>
      </c>
      <c r="C20" s="815"/>
      <c r="D20" s="815"/>
      <c r="E20" s="815" t="s">
        <v>671</v>
      </c>
      <c r="F20" s="815" t="s">
        <v>233</v>
      </c>
      <c r="G20" s="468"/>
      <c r="H20" s="13"/>
      <c r="I20" s="19"/>
    </row>
    <row r="21" spans="1:12" ht="43.9" customHeight="1">
      <c r="A21" s="797" t="s">
        <v>672</v>
      </c>
      <c r="B21" s="798">
        <f>ROUND((122000*0.7/50000)+ROUND(7/2,0),0)</f>
        <v>6</v>
      </c>
      <c r="C21" s="798"/>
      <c r="D21" s="798"/>
      <c r="E21" s="38">
        <f>H29*1000</f>
        <v>75759.39</v>
      </c>
      <c r="F21" s="797" t="s">
        <v>673</v>
      </c>
      <c r="H21" s="13"/>
      <c r="I21" s="19"/>
    </row>
    <row r="22" spans="1:12" ht="14.45" customHeight="1">
      <c r="A22" s="12"/>
      <c r="B22" s="778"/>
      <c r="C22" s="778"/>
      <c r="D22" s="778"/>
      <c r="E22" s="778"/>
      <c r="F22" s="778"/>
      <c r="G22" s="778"/>
      <c r="H22" s="13"/>
      <c r="I22" s="19"/>
    </row>
    <row r="23" spans="1:12" ht="16.149999999999999" customHeight="1">
      <c r="A23" s="12"/>
      <c r="B23" s="778"/>
      <c r="C23" s="778"/>
      <c r="D23" s="778"/>
      <c r="E23" s="778"/>
      <c r="F23" s="778"/>
      <c r="G23" s="778"/>
      <c r="H23" s="13"/>
      <c r="I23" s="19"/>
    </row>
    <row r="24" spans="1:12" ht="18.600000000000001" customHeight="1">
      <c r="A24" s="998" t="s">
        <v>674</v>
      </c>
      <c r="B24" s="998"/>
      <c r="C24" s="998"/>
      <c r="D24" s="998"/>
      <c r="E24" s="998"/>
      <c r="F24" s="998"/>
      <c r="G24" s="998"/>
      <c r="H24" s="13"/>
      <c r="I24" s="19"/>
    </row>
    <row r="25" spans="1:12">
      <c r="A25" s="844" t="s">
        <v>675</v>
      </c>
      <c r="B25" s="844"/>
      <c r="C25" s="844"/>
      <c r="D25" s="844"/>
      <c r="E25" s="844"/>
      <c r="F25" s="844"/>
      <c r="G25" s="844"/>
      <c r="H25" s="997" t="s">
        <v>676</v>
      </c>
      <c r="I25" s="997"/>
      <c r="J25" s="997"/>
      <c r="K25" s="997"/>
      <c r="L25" s="997"/>
    </row>
    <row r="26" spans="1:12">
      <c r="A26" s="844" t="s">
        <v>677</v>
      </c>
      <c r="B26" s="844"/>
      <c r="C26" s="844"/>
      <c r="D26" s="844"/>
      <c r="E26" s="844"/>
      <c r="F26" s="844"/>
      <c r="G26" s="844"/>
      <c r="H26" s="997"/>
      <c r="I26" s="997"/>
      <c r="J26" s="997"/>
      <c r="K26" s="997"/>
      <c r="L26" s="997"/>
    </row>
    <row r="27" spans="1:12">
      <c r="A27" s="846" t="s">
        <v>678</v>
      </c>
      <c r="B27" s="846"/>
      <c r="C27" s="846"/>
      <c r="D27" s="846"/>
      <c r="E27" s="846"/>
      <c r="F27" s="846"/>
      <c r="G27" s="846"/>
      <c r="H27" s="13"/>
      <c r="I27" s="19"/>
    </row>
    <row r="28" spans="1:12">
      <c r="A28" s="846" t="s">
        <v>679</v>
      </c>
      <c r="B28" s="846"/>
      <c r="C28" s="778"/>
      <c r="D28" s="778"/>
      <c r="E28" s="12">
        <f>ROUND((122000*0.7/50000)+ROUND(7/2,0),0)</f>
        <v>6</v>
      </c>
      <c r="F28" s="844" t="s">
        <v>680</v>
      </c>
      <c r="G28" s="844"/>
      <c r="H28" s="13"/>
      <c r="I28" s="19"/>
    </row>
    <row r="29" spans="1:12">
      <c r="A29" s="846" t="s">
        <v>681</v>
      </c>
      <c r="B29" s="846"/>
      <c r="C29" s="778"/>
      <c r="D29" s="778"/>
      <c r="E29" s="12">
        <f>6*E30</f>
        <v>60</v>
      </c>
      <c r="F29" s="844" t="s">
        <v>682</v>
      </c>
      <c r="G29" s="844"/>
      <c r="H29" s="778">
        <f>(75383.39+376)/1000</f>
        <v>75.759389999999996</v>
      </c>
      <c r="I29" s="19"/>
    </row>
    <row r="30" spans="1:12">
      <c r="A30" s="846" t="s">
        <v>683</v>
      </c>
      <c r="B30" s="846"/>
      <c r="C30" s="778"/>
      <c r="D30" s="778"/>
      <c r="E30" s="12">
        <v>10</v>
      </c>
      <c r="F30" s="844"/>
      <c r="G30" s="844"/>
      <c r="H30" s="13"/>
      <c r="I30" s="19"/>
    </row>
    <row r="31" spans="1:12">
      <c r="A31" s="845" t="s">
        <v>684</v>
      </c>
      <c r="B31" s="845"/>
      <c r="C31" s="845"/>
      <c r="D31" s="845"/>
      <c r="E31" s="845"/>
      <c r="F31" s="845"/>
      <c r="G31" s="845"/>
      <c r="H31" s="13"/>
      <c r="I31" s="19"/>
    </row>
    <row r="32" spans="1:12">
      <c r="B32" s="12"/>
      <c r="C32" s="12"/>
      <c r="D32" s="12"/>
      <c r="E32" s="12"/>
      <c r="F32" s="14"/>
      <c r="G32" s="12"/>
      <c r="H32" s="13"/>
      <c r="I32" s="19"/>
    </row>
    <row r="33" spans="1:14" ht="18" customHeight="1"/>
    <row r="34" spans="1:14" ht="18" customHeight="1"/>
    <row r="39" spans="1:14" ht="13.9" customHeight="1"/>
    <row r="40" spans="1:14" ht="13.9" customHeight="1"/>
    <row r="41" spans="1:14" ht="13.9" customHeight="1"/>
    <row r="42" spans="1:14" s="24" customFormat="1" hidden="1">
      <c r="B42" s="24" t="s">
        <v>95</v>
      </c>
      <c r="G42" s="25"/>
      <c r="H42" s="26"/>
      <c r="I42" s="27"/>
    </row>
    <row r="43" spans="1:14" hidden="1"/>
    <row r="44" spans="1:14" hidden="1">
      <c r="A44" s="74" t="s">
        <v>685</v>
      </c>
      <c r="B44" s="12"/>
      <c r="C44" s="12"/>
      <c r="D44" s="12"/>
      <c r="E44" s="14"/>
      <c r="F44" s="12"/>
      <c r="H44" s="19"/>
    </row>
    <row r="45" spans="1:14" hidden="1">
      <c r="A45" s="74" t="s">
        <v>686</v>
      </c>
      <c r="B45" s="12"/>
      <c r="C45" s="12"/>
      <c r="D45" s="12"/>
      <c r="E45" s="14"/>
      <c r="F45" s="12"/>
      <c r="G45" s="13"/>
      <c r="H45" s="19"/>
    </row>
    <row r="46" spans="1:14" hidden="1">
      <c r="A46" s="75" t="s">
        <v>687</v>
      </c>
      <c r="H46" s="996" t="s">
        <v>503</v>
      </c>
      <c r="I46" s="996"/>
      <c r="J46" s="996"/>
      <c r="K46" s="996"/>
      <c r="L46" s="996"/>
      <c r="M46" s="996"/>
      <c r="N46" s="996"/>
    </row>
    <row r="47" spans="1:14" ht="14.45" hidden="1">
      <c r="A47" s="75"/>
      <c r="G47"/>
      <c r="H47" s="918" t="s">
        <v>688</v>
      </c>
      <c r="I47" s="918" t="s">
        <v>689</v>
      </c>
      <c r="J47" s="918" t="s">
        <v>690</v>
      </c>
      <c r="K47" s="3" t="s">
        <v>691</v>
      </c>
      <c r="L47" s="3"/>
      <c r="M47" s="996" t="s">
        <v>692</v>
      </c>
      <c r="N47" s="996"/>
    </row>
    <row r="48" spans="1:14" ht="28.9" hidden="1">
      <c r="A48" s="119" t="s">
        <v>153</v>
      </c>
      <c r="B48" s="10" t="s">
        <v>693</v>
      </c>
      <c r="G48"/>
      <c r="H48" s="918"/>
      <c r="I48" s="918"/>
      <c r="J48" s="918"/>
      <c r="K48" s="178" t="s">
        <v>694</v>
      </c>
      <c r="L48" s="3" t="s">
        <v>695</v>
      </c>
      <c r="M48" s="178" t="s">
        <v>694</v>
      </c>
      <c r="N48" s="3" t="s">
        <v>695</v>
      </c>
    </row>
    <row r="49" spans="1:14" ht="14.45" hidden="1">
      <c r="A49" s="119" t="s">
        <v>696</v>
      </c>
      <c r="B49" s="10" t="s">
        <v>697</v>
      </c>
      <c r="G49" s="2" t="s">
        <v>698</v>
      </c>
      <c r="H49" s="798">
        <v>3</v>
      </c>
      <c r="I49" s="38">
        <v>43000</v>
      </c>
      <c r="J49" s="38">
        <v>2</v>
      </c>
      <c r="K49" s="177">
        <v>16024.3</v>
      </c>
      <c r="L49" s="177">
        <v>8721.7999999999993</v>
      </c>
      <c r="M49" s="121"/>
      <c r="N49" s="121"/>
    </row>
    <row r="50" spans="1:14" ht="14.45" hidden="1">
      <c r="A50" s="119" t="s">
        <v>699</v>
      </c>
      <c r="B50" s="10" t="s">
        <v>700</v>
      </c>
      <c r="G50" s="2" t="s">
        <v>59</v>
      </c>
      <c r="H50" s="798">
        <v>6</v>
      </c>
      <c r="I50" s="38">
        <v>122000</v>
      </c>
      <c r="J50" s="38">
        <v>6</v>
      </c>
      <c r="K50" s="177">
        <v>75383.39</v>
      </c>
      <c r="L50" s="177">
        <v>44860.63</v>
      </c>
      <c r="M50" s="121"/>
      <c r="N50" s="121">
        <v>315.94</v>
      </c>
    </row>
    <row r="51" spans="1:14" ht="14.45" hidden="1">
      <c r="A51" s="119"/>
      <c r="G51"/>
      <c r="H51" s="145"/>
      <c r="I51" s="145"/>
      <c r="J51" s="145"/>
    </row>
  </sheetData>
  <mergeCells count="22">
    <mergeCell ref="A1:F1"/>
    <mergeCell ref="F10:F12"/>
    <mergeCell ref="F7:F9"/>
    <mergeCell ref="F29:G29"/>
    <mergeCell ref="A29:B29"/>
    <mergeCell ref="A24:G24"/>
    <mergeCell ref="F14:F16"/>
    <mergeCell ref="A19:F19"/>
    <mergeCell ref="A31:G31"/>
    <mergeCell ref="F30:G30"/>
    <mergeCell ref="F28:G28"/>
    <mergeCell ref="A28:B28"/>
    <mergeCell ref="H25:L26"/>
    <mergeCell ref="A25:G25"/>
    <mergeCell ref="A27:G27"/>
    <mergeCell ref="A26:G26"/>
    <mergeCell ref="A30:B30"/>
    <mergeCell ref="M47:N47"/>
    <mergeCell ref="H46:N46"/>
    <mergeCell ref="I47:I48"/>
    <mergeCell ref="H47:H48"/>
    <mergeCell ref="J47:J48"/>
  </mergeCells>
  <phoneticPr fontId="8" type="noConversion"/>
  <hyperlinks>
    <hyperlink ref="H25" r:id="rId1" xr:uid="{161ECB10-6518-4517-839A-100450D33F77}"/>
  </hyperlink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5854CA02-FA9D-4CB9-B868-164D55D88E43}">
          <x14:formula1>
            <xm:f>Data!$A$2:$A$200</xm:f>
          </x14:formula1>
          <xm:sqref>A3:A5</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AEBC7-570E-431D-A891-0E68E13886AA}">
  <sheetPr codeName="Sheet11"/>
  <dimension ref="A1:BO370"/>
  <sheetViews>
    <sheetView zoomScale="85" zoomScaleNormal="85" workbookViewId="0">
      <pane xSplit="5" ySplit="3" topLeftCell="F4" activePane="bottomRight" state="frozen"/>
      <selection pane="bottomRight" sqref="A1:AC1"/>
      <selection pane="bottomLeft" activeCell="A4" sqref="A4"/>
      <selection pane="topRight" activeCell="F1" sqref="F1"/>
    </sheetView>
  </sheetViews>
  <sheetFormatPr defaultColWidth="9.28515625" defaultRowHeight="11.45"/>
  <cols>
    <col min="1" max="1" width="15.7109375" style="39" customWidth="1"/>
    <col min="2" max="2" width="19.5703125" style="39" customWidth="1"/>
    <col min="3" max="3" width="27.7109375" style="39" customWidth="1"/>
    <col min="4" max="4" width="27.5703125" style="39" customWidth="1"/>
    <col min="5" max="5" width="17.140625" style="39" customWidth="1"/>
    <col min="6" max="6" width="9.28515625" style="39"/>
    <col min="7" max="30" width="5.7109375" style="39" customWidth="1"/>
    <col min="31" max="16384" width="9.28515625" style="39"/>
  </cols>
  <sheetData>
    <row r="1" spans="1:39" ht="24" customHeight="1">
      <c r="A1" s="906" t="str">
        <f>"Schedules - "&amp;Prototype!A2</f>
        <v>Schedules - HotelLarge</v>
      </c>
      <c r="B1" s="906"/>
      <c r="C1" s="906"/>
      <c r="D1" s="906"/>
      <c r="E1" s="906"/>
      <c r="F1" s="906"/>
      <c r="G1" s="906"/>
      <c r="H1" s="906"/>
      <c r="I1" s="906"/>
      <c r="J1" s="906"/>
      <c r="K1" s="906"/>
      <c r="L1" s="906"/>
      <c r="M1" s="906"/>
      <c r="N1" s="906"/>
      <c r="O1" s="906"/>
      <c r="P1" s="906"/>
      <c r="Q1" s="906"/>
      <c r="R1" s="906"/>
      <c r="S1" s="906"/>
      <c r="T1" s="906"/>
      <c r="U1" s="906"/>
      <c r="V1" s="906"/>
      <c r="W1" s="906"/>
      <c r="X1" s="906"/>
      <c r="Y1" s="906"/>
      <c r="Z1" s="906"/>
      <c r="AA1" s="906"/>
      <c r="AB1" s="906"/>
      <c r="AC1" s="1132"/>
      <c r="AD1" s="40"/>
      <c r="AE1" s="40"/>
      <c r="AF1" s="40"/>
      <c r="AG1" s="40"/>
      <c r="AH1" s="40"/>
      <c r="AI1" s="41"/>
      <c r="AJ1" s="41"/>
      <c r="AK1" s="41"/>
    </row>
    <row r="2" spans="1:39" ht="24" customHeight="1">
      <c r="A2" s="1142" t="s">
        <v>701</v>
      </c>
      <c r="B2" s="1142" t="s">
        <v>169</v>
      </c>
      <c r="C2" s="1142" t="s">
        <v>702</v>
      </c>
      <c r="D2" s="1142" t="s">
        <v>233</v>
      </c>
      <c r="E2" s="1142" t="s">
        <v>703</v>
      </c>
      <c r="F2" s="1186" t="s">
        <v>704</v>
      </c>
      <c r="G2" s="1186"/>
      <c r="H2" s="1186"/>
      <c r="I2" s="1186"/>
      <c r="J2" s="1186"/>
      <c r="K2" s="1186"/>
      <c r="L2" s="1186"/>
      <c r="M2" s="1186"/>
      <c r="N2" s="1186"/>
      <c r="O2" s="1186"/>
      <c r="P2" s="1186"/>
      <c r="Q2" s="1186"/>
      <c r="R2" s="1186"/>
      <c r="S2" s="1186"/>
      <c r="T2" s="1186"/>
      <c r="U2" s="1186"/>
      <c r="V2" s="1186"/>
      <c r="W2" s="1186"/>
      <c r="X2" s="1186"/>
      <c r="Y2" s="1186"/>
      <c r="Z2" s="1186"/>
      <c r="AA2" s="1186"/>
      <c r="AB2" s="1186"/>
      <c r="AC2" s="1186"/>
      <c r="AD2" s="40"/>
      <c r="AE2" s="40"/>
      <c r="AF2" s="40"/>
      <c r="AG2" s="40"/>
      <c r="AH2" s="40"/>
      <c r="AI2" s="41"/>
      <c r="AJ2" s="41"/>
      <c r="AK2" s="41"/>
    </row>
    <row r="3" spans="1:39" ht="25.15" customHeight="1" thickBot="1">
      <c r="A3" s="1143"/>
      <c r="B3" s="1143"/>
      <c r="C3" s="1143"/>
      <c r="D3" s="1143"/>
      <c r="E3" s="1143"/>
      <c r="F3" s="816">
        <v>1</v>
      </c>
      <c r="G3" s="816">
        <v>2</v>
      </c>
      <c r="H3" s="816">
        <v>3</v>
      </c>
      <c r="I3" s="816">
        <v>4</v>
      </c>
      <c r="J3" s="816">
        <v>5</v>
      </c>
      <c r="K3" s="816">
        <v>6</v>
      </c>
      <c r="L3" s="816">
        <v>7</v>
      </c>
      <c r="M3" s="816">
        <v>8</v>
      </c>
      <c r="N3" s="816">
        <v>9</v>
      </c>
      <c r="O3" s="816">
        <v>10</v>
      </c>
      <c r="P3" s="816">
        <v>11</v>
      </c>
      <c r="Q3" s="816">
        <v>12</v>
      </c>
      <c r="R3" s="816">
        <v>13</v>
      </c>
      <c r="S3" s="816">
        <v>14</v>
      </c>
      <c r="T3" s="816">
        <v>15</v>
      </c>
      <c r="U3" s="816">
        <v>16</v>
      </c>
      <c r="V3" s="816">
        <v>17</v>
      </c>
      <c r="W3" s="816">
        <v>18</v>
      </c>
      <c r="X3" s="816">
        <v>19</v>
      </c>
      <c r="Y3" s="816">
        <v>20</v>
      </c>
      <c r="Z3" s="816">
        <v>21</v>
      </c>
      <c r="AA3" s="816">
        <v>22</v>
      </c>
      <c r="AB3" s="816">
        <v>23</v>
      </c>
      <c r="AC3" s="816">
        <v>24</v>
      </c>
      <c r="AD3" s="41"/>
      <c r="AE3" s="41"/>
      <c r="AF3" s="41"/>
      <c r="AG3" s="41"/>
      <c r="AH3" s="41"/>
      <c r="AI3" s="41"/>
      <c r="AJ3" s="41"/>
      <c r="AK3" s="41"/>
    </row>
    <row r="4" spans="1:39" ht="25.15" customHeight="1">
      <c r="A4" s="999" t="s">
        <v>705</v>
      </c>
      <c r="B4" s="1005" t="s">
        <v>185</v>
      </c>
      <c r="C4" s="1089" t="s">
        <v>706</v>
      </c>
      <c r="D4" s="1187" t="s">
        <v>707</v>
      </c>
      <c r="E4" s="564" t="s">
        <v>517</v>
      </c>
      <c r="F4" s="565">
        <v>0.9</v>
      </c>
      <c r="G4" s="565">
        <v>0.9</v>
      </c>
      <c r="H4" s="565">
        <v>0.9</v>
      </c>
      <c r="I4" s="565">
        <v>0.9</v>
      </c>
      <c r="J4" s="565">
        <v>0.9</v>
      </c>
      <c r="K4" s="565">
        <v>0.9</v>
      </c>
      <c r="L4" s="565">
        <v>0.7</v>
      </c>
      <c r="M4" s="565">
        <v>0.4</v>
      </c>
      <c r="N4" s="565">
        <v>0.4</v>
      </c>
      <c r="O4" s="565">
        <v>0.2</v>
      </c>
      <c r="P4" s="565">
        <v>0.2</v>
      </c>
      <c r="Q4" s="565">
        <v>0.2</v>
      </c>
      <c r="R4" s="565">
        <v>0.2</v>
      </c>
      <c r="S4" s="565">
        <v>0.2</v>
      </c>
      <c r="T4" s="565">
        <v>0.2</v>
      </c>
      <c r="U4" s="565">
        <v>0.3</v>
      </c>
      <c r="V4" s="565">
        <v>0.5</v>
      </c>
      <c r="W4" s="565">
        <v>0.5</v>
      </c>
      <c r="X4" s="565">
        <v>0.5</v>
      </c>
      <c r="Y4" s="565">
        <v>0.7</v>
      </c>
      <c r="Z4" s="565">
        <v>0.7</v>
      </c>
      <c r="AA4" s="565">
        <v>0.8</v>
      </c>
      <c r="AB4" s="565">
        <v>0.9</v>
      </c>
      <c r="AC4" s="566">
        <v>0.9</v>
      </c>
      <c r="AD4" s="41"/>
      <c r="AE4" s="41"/>
      <c r="AF4" s="41"/>
      <c r="AG4" s="41"/>
      <c r="AH4" s="41"/>
      <c r="AI4" s="41"/>
      <c r="AJ4" s="41"/>
      <c r="AK4" s="41"/>
    </row>
    <row r="5" spans="1:39" ht="25.15" customHeight="1">
      <c r="A5" s="1000"/>
      <c r="B5" s="1003"/>
      <c r="C5" s="1090"/>
      <c r="D5" s="1126"/>
      <c r="E5" s="503" t="s">
        <v>524</v>
      </c>
      <c r="F5" s="496">
        <v>0.9</v>
      </c>
      <c r="G5" s="496">
        <v>0.9</v>
      </c>
      <c r="H5" s="496">
        <v>0.9</v>
      </c>
      <c r="I5" s="496">
        <v>0.9</v>
      </c>
      <c r="J5" s="496">
        <v>0.9</v>
      </c>
      <c r="K5" s="496">
        <v>0.9</v>
      </c>
      <c r="L5" s="496">
        <v>0.7</v>
      </c>
      <c r="M5" s="496">
        <v>0.5</v>
      </c>
      <c r="N5" s="496">
        <v>0.5</v>
      </c>
      <c r="O5" s="496">
        <v>0.3</v>
      </c>
      <c r="P5" s="496">
        <v>0.3</v>
      </c>
      <c r="Q5" s="496">
        <v>0.3</v>
      </c>
      <c r="R5" s="496">
        <v>0.3</v>
      </c>
      <c r="S5" s="496">
        <v>0.3</v>
      </c>
      <c r="T5" s="496">
        <v>0.3</v>
      </c>
      <c r="U5" s="496">
        <v>0.3</v>
      </c>
      <c r="V5" s="496">
        <v>0.3</v>
      </c>
      <c r="W5" s="496">
        <v>0.5</v>
      </c>
      <c r="X5" s="496">
        <v>0.6</v>
      </c>
      <c r="Y5" s="496">
        <v>0.6</v>
      </c>
      <c r="Z5" s="496">
        <v>0.6</v>
      </c>
      <c r="AA5" s="496">
        <v>0.7</v>
      </c>
      <c r="AB5" s="496">
        <v>0.7</v>
      </c>
      <c r="AC5" s="567">
        <v>0.7</v>
      </c>
      <c r="AD5" s="41"/>
      <c r="AE5" s="41"/>
      <c r="AF5" s="41"/>
      <c r="AG5" s="41"/>
      <c r="AH5" s="41"/>
      <c r="AI5" s="41"/>
      <c r="AJ5" s="41"/>
      <c r="AK5" s="41"/>
    </row>
    <row r="6" spans="1:39" ht="25.15" customHeight="1" thickBot="1">
      <c r="A6" s="1001"/>
      <c r="B6" s="1004"/>
      <c r="C6" s="1091"/>
      <c r="D6" s="1188"/>
      <c r="E6" s="568" t="s">
        <v>526</v>
      </c>
      <c r="F6" s="569">
        <v>0.7</v>
      </c>
      <c r="G6" s="569">
        <v>0.7</v>
      </c>
      <c r="H6" s="569">
        <v>0.7</v>
      </c>
      <c r="I6" s="569">
        <v>0.7</v>
      </c>
      <c r="J6" s="569">
        <v>0.7</v>
      </c>
      <c r="K6" s="569">
        <v>0.7</v>
      </c>
      <c r="L6" s="569">
        <v>0.7</v>
      </c>
      <c r="M6" s="569">
        <v>0.7</v>
      </c>
      <c r="N6" s="569">
        <v>0.5</v>
      </c>
      <c r="O6" s="569">
        <v>0.5</v>
      </c>
      <c r="P6" s="569">
        <v>0.5</v>
      </c>
      <c r="Q6" s="569">
        <v>0.3</v>
      </c>
      <c r="R6" s="569">
        <v>0.3</v>
      </c>
      <c r="S6" s="569">
        <v>0.2</v>
      </c>
      <c r="T6" s="569">
        <v>0.2</v>
      </c>
      <c r="U6" s="569">
        <v>0.2</v>
      </c>
      <c r="V6" s="569">
        <v>0.3</v>
      </c>
      <c r="W6" s="569">
        <v>0.4</v>
      </c>
      <c r="X6" s="569">
        <v>0.4</v>
      </c>
      <c r="Y6" s="569">
        <v>0.6</v>
      </c>
      <c r="Z6" s="569">
        <v>0.6</v>
      </c>
      <c r="AA6" s="569">
        <v>0.8</v>
      </c>
      <c r="AB6" s="569">
        <v>0.8</v>
      </c>
      <c r="AC6" s="570">
        <v>0.8</v>
      </c>
      <c r="AD6" s="41"/>
      <c r="AE6" s="41"/>
      <c r="AF6" s="41"/>
      <c r="AG6" s="41"/>
      <c r="AH6" s="41"/>
      <c r="AI6" s="41"/>
      <c r="AJ6" s="41"/>
      <c r="AK6" s="41"/>
    </row>
    <row r="7" spans="1:39" ht="38.65" customHeight="1">
      <c r="A7" s="1057" t="str">
        <f>A4</f>
        <v>Service and Back Up prep in Basement</v>
      </c>
      <c r="B7" s="1029" t="str">
        <f>B4</f>
        <v>ServiceAndBackUpPrep</v>
      </c>
      <c r="C7" s="1099" t="s">
        <v>708</v>
      </c>
      <c r="D7" s="1195" t="s">
        <v>709</v>
      </c>
      <c r="E7" s="505" t="s">
        <v>517</v>
      </c>
      <c r="F7" s="518">
        <v>0.2</v>
      </c>
      <c r="G7" s="518">
        <v>0.15</v>
      </c>
      <c r="H7" s="518">
        <v>0.1</v>
      </c>
      <c r="I7" s="518">
        <v>0.1</v>
      </c>
      <c r="J7" s="518">
        <v>0.1</v>
      </c>
      <c r="K7" s="518">
        <v>0.2</v>
      </c>
      <c r="L7" s="518">
        <v>0.4</v>
      </c>
      <c r="M7" s="518">
        <v>0.5</v>
      </c>
      <c r="N7" s="518">
        <v>0.4</v>
      </c>
      <c r="O7" s="518">
        <v>0.4</v>
      </c>
      <c r="P7" s="518">
        <v>0.25</v>
      </c>
      <c r="Q7" s="518">
        <v>0.25</v>
      </c>
      <c r="R7" s="518">
        <v>0.25</v>
      </c>
      <c r="S7" s="518">
        <v>0.25</v>
      </c>
      <c r="T7" s="518">
        <v>0.25</v>
      </c>
      <c r="U7" s="518">
        <v>0.25</v>
      </c>
      <c r="V7" s="518">
        <v>0.25</v>
      </c>
      <c r="W7" s="518">
        <v>0.25</v>
      </c>
      <c r="X7" s="518">
        <v>0.6</v>
      </c>
      <c r="Y7" s="518">
        <v>0.8</v>
      </c>
      <c r="Z7" s="518">
        <v>0.9</v>
      </c>
      <c r="AA7" s="518">
        <v>0.8</v>
      </c>
      <c r="AB7" s="518">
        <v>0.6</v>
      </c>
      <c r="AC7" s="519">
        <v>0.3</v>
      </c>
      <c r="AD7" s="41"/>
      <c r="AE7" s="41"/>
      <c r="AF7" s="41"/>
      <c r="AG7" s="41"/>
      <c r="AH7" s="41"/>
      <c r="AI7" s="41"/>
      <c r="AJ7" s="41"/>
      <c r="AK7" s="41"/>
      <c r="AM7" s="52"/>
    </row>
    <row r="8" spans="1:39" ht="38.65" customHeight="1">
      <c r="A8" s="1058"/>
      <c r="B8" s="1003"/>
      <c r="C8" s="1090"/>
      <c r="D8" s="1196"/>
      <c r="E8" s="503" t="s">
        <v>524</v>
      </c>
      <c r="F8" s="496">
        <v>0.2</v>
      </c>
      <c r="G8" s="496">
        <v>0.2</v>
      </c>
      <c r="H8" s="496">
        <v>0.1</v>
      </c>
      <c r="I8" s="496">
        <v>0.1</v>
      </c>
      <c r="J8" s="496">
        <v>0.1</v>
      </c>
      <c r="K8" s="496">
        <v>0.1</v>
      </c>
      <c r="L8" s="496">
        <v>0.3</v>
      </c>
      <c r="M8" s="496">
        <v>0.3</v>
      </c>
      <c r="N8" s="496">
        <v>0.4</v>
      </c>
      <c r="O8" s="496">
        <v>0.4</v>
      </c>
      <c r="P8" s="496">
        <v>0.3</v>
      </c>
      <c r="Q8" s="496">
        <v>0.25</v>
      </c>
      <c r="R8" s="496">
        <v>0.25</v>
      </c>
      <c r="S8" s="496">
        <v>0.25</v>
      </c>
      <c r="T8" s="496">
        <v>0.25</v>
      </c>
      <c r="U8" s="496">
        <v>0.25</v>
      </c>
      <c r="V8" s="496">
        <v>0.25</v>
      </c>
      <c r="W8" s="496">
        <v>0.25</v>
      </c>
      <c r="X8" s="496">
        <v>0.6</v>
      </c>
      <c r="Y8" s="496">
        <v>0.7</v>
      </c>
      <c r="Z8" s="496">
        <v>0.7</v>
      </c>
      <c r="AA8" s="496">
        <v>0.7</v>
      </c>
      <c r="AB8" s="496">
        <v>0.6</v>
      </c>
      <c r="AC8" s="499">
        <v>0.3</v>
      </c>
      <c r="AD8" s="41"/>
      <c r="AE8" s="41"/>
      <c r="AF8" s="41"/>
      <c r="AG8" s="41"/>
      <c r="AH8" s="41"/>
      <c r="AI8" s="41"/>
      <c r="AJ8" s="41"/>
      <c r="AK8" s="41"/>
      <c r="AM8" s="52"/>
    </row>
    <row r="9" spans="1:39" ht="38.65" customHeight="1" thickBot="1">
      <c r="A9" s="1059"/>
      <c r="B9" s="1036"/>
      <c r="C9" s="1100"/>
      <c r="D9" s="1197"/>
      <c r="E9" s="504" t="s">
        <v>526</v>
      </c>
      <c r="F9" s="500">
        <v>0.3</v>
      </c>
      <c r="G9" s="500">
        <v>0.3</v>
      </c>
      <c r="H9" s="500">
        <v>0.2</v>
      </c>
      <c r="I9" s="500">
        <v>0.2</v>
      </c>
      <c r="J9" s="500">
        <v>0.2</v>
      </c>
      <c r="K9" s="500">
        <v>0.2</v>
      </c>
      <c r="L9" s="500">
        <v>0.3</v>
      </c>
      <c r="M9" s="500">
        <v>0.4</v>
      </c>
      <c r="N9" s="500">
        <v>0.4</v>
      </c>
      <c r="O9" s="500">
        <v>0.3</v>
      </c>
      <c r="P9" s="500">
        <v>0.3</v>
      </c>
      <c r="Q9" s="500">
        <v>0.3</v>
      </c>
      <c r="R9" s="500">
        <v>0.3</v>
      </c>
      <c r="S9" s="500">
        <v>0.2</v>
      </c>
      <c r="T9" s="500">
        <v>0.2</v>
      </c>
      <c r="U9" s="500">
        <v>0.2</v>
      </c>
      <c r="V9" s="500">
        <v>0.2</v>
      </c>
      <c r="W9" s="500">
        <v>0.2</v>
      </c>
      <c r="X9" s="500">
        <v>0.5</v>
      </c>
      <c r="Y9" s="500">
        <v>0.7</v>
      </c>
      <c r="Z9" s="500">
        <v>0.8</v>
      </c>
      <c r="AA9" s="500">
        <v>0.6</v>
      </c>
      <c r="AB9" s="500">
        <v>0.5</v>
      </c>
      <c r="AC9" s="501">
        <v>0.3</v>
      </c>
      <c r="AD9" s="41"/>
      <c r="AE9" s="41"/>
      <c r="AF9" s="41"/>
      <c r="AG9" s="41"/>
      <c r="AH9" s="41"/>
      <c r="AI9" s="41"/>
      <c r="AJ9" s="41"/>
      <c r="AK9" s="41"/>
      <c r="AM9" s="52"/>
    </row>
    <row r="10" spans="1:39" ht="38.65" customHeight="1">
      <c r="A10" s="1063" t="str">
        <f>A4</f>
        <v>Service and Back Up prep in Basement</v>
      </c>
      <c r="B10" s="1034" t="str">
        <f>B4</f>
        <v>ServiceAndBackUpPrep</v>
      </c>
      <c r="C10" s="1065" t="s">
        <v>710</v>
      </c>
      <c r="D10" s="1195"/>
      <c r="E10" s="505" t="s">
        <v>517</v>
      </c>
      <c r="F10" s="518">
        <v>0.3</v>
      </c>
      <c r="G10" s="518">
        <v>0.25</v>
      </c>
      <c r="H10" s="518">
        <v>0.2</v>
      </c>
      <c r="I10" s="518">
        <v>0.2</v>
      </c>
      <c r="J10" s="518">
        <v>0.2</v>
      </c>
      <c r="K10" s="518">
        <v>0.3</v>
      </c>
      <c r="L10" s="518">
        <v>0.5</v>
      </c>
      <c r="M10" s="518">
        <v>0.6</v>
      </c>
      <c r="N10" s="518">
        <v>0.5</v>
      </c>
      <c r="O10" s="518">
        <v>0.5</v>
      </c>
      <c r="P10" s="518">
        <v>0.35</v>
      </c>
      <c r="Q10" s="518">
        <v>0.35</v>
      </c>
      <c r="R10" s="518">
        <v>0.35</v>
      </c>
      <c r="S10" s="518">
        <v>0.35</v>
      </c>
      <c r="T10" s="518">
        <v>0.35</v>
      </c>
      <c r="U10" s="518">
        <v>0.35</v>
      </c>
      <c r="V10" s="518">
        <v>0.35</v>
      </c>
      <c r="W10" s="518">
        <v>0.35</v>
      </c>
      <c r="X10" s="518">
        <v>0.7</v>
      </c>
      <c r="Y10" s="518">
        <v>0.9</v>
      </c>
      <c r="Z10" s="518">
        <v>0.95</v>
      </c>
      <c r="AA10" s="518">
        <v>0.9</v>
      </c>
      <c r="AB10" s="518">
        <v>0.7</v>
      </c>
      <c r="AC10" s="519">
        <v>0.4</v>
      </c>
      <c r="AD10" s="41"/>
      <c r="AE10" s="41"/>
      <c r="AF10" s="41"/>
      <c r="AG10" s="41"/>
      <c r="AH10" s="41"/>
      <c r="AI10" s="41"/>
      <c r="AJ10" s="41"/>
      <c r="AK10" s="41"/>
      <c r="AM10" s="52"/>
    </row>
    <row r="11" spans="1:39" ht="38.65" customHeight="1">
      <c r="A11" s="1058"/>
      <c r="B11" s="1003"/>
      <c r="C11" s="1066"/>
      <c r="D11" s="1196"/>
      <c r="E11" s="503" t="s">
        <v>524</v>
      </c>
      <c r="F11" s="496">
        <v>0.3</v>
      </c>
      <c r="G11" s="496">
        <v>0.3</v>
      </c>
      <c r="H11" s="496">
        <v>0.2</v>
      </c>
      <c r="I11" s="496">
        <v>0.2</v>
      </c>
      <c r="J11" s="496">
        <v>0.2</v>
      </c>
      <c r="K11" s="496">
        <v>0.2</v>
      </c>
      <c r="L11" s="496">
        <v>0.4</v>
      </c>
      <c r="M11" s="496">
        <v>0.4</v>
      </c>
      <c r="N11" s="496">
        <v>0.5</v>
      </c>
      <c r="O11" s="496">
        <v>0.5</v>
      </c>
      <c r="P11" s="496">
        <v>0.4</v>
      </c>
      <c r="Q11" s="496">
        <v>0.35</v>
      </c>
      <c r="R11" s="496">
        <v>0.35</v>
      </c>
      <c r="S11" s="496">
        <v>0.35</v>
      </c>
      <c r="T11" s="496">
        <v>0.35</v>
      </c>
      <c r="U11" s="496">
        <v>0.35</v>
      </c>
      <c r="V11" s="496">
        <v>0.35</v>
      </c>
      <c r="W11" s="496">
        <v>0.35</v>
      </c>
      <c r="X11" s="496">
        <v>0.7</v>
      </c>
      <c r="Y11" s="496">
        <v>0.8</v>
      </c>
      <c r="Z11" s="496">
        <v>0.8</v>
      </c>
      <c r="AA11" s="496">
        <v>0.8</v>
      </c>
      <c r="AB11" s="496">
        <v>0.7</v>
      </c>
      <c r="AC11" s="499">
        <v>0.4</v>
      </c>
      <c r="AD11" s="41"/>
      <c r="AE11" s="41"/>
      <c r="AF11" s="41"/>
      <c r="AG11" s="41"/>
      <c r="AH11" s="41"/>
      <c r="AI11" s="41"/>
      <c r="AJ11" s="41"/>
      <c r="AK11" s="41"/>
      <c r="AM11" s="52"/>
    </row>
    <row r="12" spans="1:39" ht="38.65" customHeight="1" thickBot="1">
      <c r="A12" s="1064"/>
      <c r="B12" s="1030"/>
      <c r="C12" s="1067"/>
      <c r="D12" s="1197"/>
      <c r="E12" s="517" t="s">
        <v>526</v>
      </c>
      <c r="F12" s="520">
        <v>0.4</v>
      </c>
      <c r="G12" s="520">
        <v>0.4</v>
      </c>
      <c r="H12" s="520">
        <v>0.3</v>
      </c>
      <c r="I12" s="520">
        <v>0.3</v>
      </c>
      <c r="J12" s="520">
        <v>0.3</v>
      </c>
      <c r="K12" s="520">
        <v>0.3</v>
      </c>
      <c r="L12" s="520">
        <v>0.4</v>
      </c>
      <c r="M12" s="520">
        <v>0.5</v>
      </c>
      <c r="N12" s="520">
        <v>0.5</v>
      </c>
      <c r="O12" s="520">
        <v>0.4</v>
      </c>
      <c r="P12" s="520">
        <v>0.4</v>
      </c>
      <c r="Q12" s="520">
        <v>0.4</v>
      </c>
      <c r="R12" s="520">
        <v>0.4</v>
      </c>
      <c r="S12" s="520">
        <v>0.3</v>
      </c>
      <c r="T12" s="520">
        <v>0.3</v>
      </c>
      <c r="U12" s="520">
        <v>0.3</v>
      </c>
      <c r="V12" s="520">
        <v>0.3</v>
      </c>
      <c r="W12" s="520">
        <v>0.3</v>
      </c>
      <c r="X12" s="520">
        <v>0.6</v>
      </c>
      <c r="Y12" s="520">
        <v>0.8</v>
      </c>
      <c r="Z12" s="520">
        <v>0.9</v>
      </c>
      <c r="AA12" s="520">
        <v>0.7</v>
      </c>
      <c r="AB12" s="520">
        <v>0.6</v>
      </c>
      <c r="AC12" s="521">
        <v>0.4</v>
      </c>
      <c r="AD12" s="41"/>
      <c r="AE12" s="41"/>
      <c r="AF12" s="41"/>
      <c r="AG12" s="41"/>
      <c r="AH12" s="41"/>
      <c r="AI12" s="41"/>
      <c r="AJ12" s="41"/>
      <c r="AK12" s="41"/>
      <c r="AM12" s="52"/>
    </row>
    <row r="13" spans="1:39" ht="38.450000000000003" customHeight="1">
      <c r="A13" s="999" t="str">
        <f>A4</f>
        <v>Service and Back Up prep in Basement</v>
      </c>
      <c r="B13" s="1005" t="str">
        <f>B4</f>
        <v>ServiceAndBackUpPrep</v>
      </c>
      <c r="C13" s="1005" t="s">
        <v>711</v>
      </c>
      <c r="D13" s="1195" t="s">
        <v>712</v>
      </c>
      <c r="E13" s="700" t="s">
        <v>517</v>
      </c>
      <c r="F13" s="701">
        <v>1</v>
      </c>
      <c r="G13" s="701">
        <v>1</v>
      </c>
      <c r="H13" s="701">
        <v>1</v>
      </c>
      <c r="I13" s="701">
        <v>1</v>
      </c>
      <c r="J13" s="701">
        <v>1</v>
      </c>
      <c r="K13" s="701">
        <v>1</v>
      </c>
      <c r="L13" s="701">
        <v>1</v>
      </c>
      <c r="M13" s="701">
        <v>1</v>
      </c>
      <c r="N13" s="701">
        <v>1</v>
      </c>
      <c r="O13" s="701">
        <v>1</v>
      </c>
      <c r="P13" s="701">
        <v>1</v>
      </c>
      <c r="Q13" s="701">
        <v>1</v>
      </c>
      <c r="R13" s="701">
        <v>1</v>
      </c>
      <c r="S13" s="701">
        <v>1</v>
      </c>
      <c r="T13" s="701">
        <v>1</v>
      </c>
      <c r="U13" s="701">
        <v>1</v>
      </c>
      <c r="V13" s="701">
        <v>1</v>
      </c>
      <c r="W13" s="701">
        <v>1</v>
      </c>
      <c r="X13" s="701">
        <v>1</v>
      </c>
      <c r="Y13" s="701">
        <v>1</v>
      </c>
      <c r="Z13" s="701">
        <v>1</v>
      </c>
      <c r="AA13" s="701">
        <v>1</v>
      </c>
      <c r="AB13" s="701">
        <v>1</v>
      </c>
      <c r="AC13" s="702">
        <v>1</v>
      </c>
      <c r="AD13" s="41"/>
      <c r="AE13" s="41"/>
      <c r="AF13" s="41"/>
      <c r="AG13" s="41"/>
      <c r="AH13" s="41"/>
      <c r="AI13" s="41"/>
      <c r="AJ13" s="41"/>
      <c r="AK13" s="41"/>
      <c r="AM13" s="52"/>
    </row>
    <row r="14" spans="1:39" ht="38.65" customHeight="1">
      <c r="A14" s="1000"/>
      <c r="B14" s="1003"/>
      <c r="C14" s="1003"/>
      <c r="D14" s="1196"/>
      <c r="E14" s="674" t="s">
        <v>524</v>
      </c>
      <c r="F14" s="691">
        <v>1</v>
      </c>
      <c r="G14" s="691">
        <v>1</v>
      </c>
      <c r="H14" s="691">
        <v>1</v>
      </c>
      <c r="I14" s="691">
        <v>1</v>
      </c>
      <c r="J14" s="691">
        <v>1</v>
      </c>
      <c r="K14" s="691">
        <v>1</v>
      </c>
      <c r="L14" s="691">
        <v>1</v>
      </c>
      <c r="M14" s="691">
        <v>1</v>
      </c>
      <c r="N14" s="691">
        <v>1</v>
      </c>
      <c r="O14" s="691">
        <v>1</v>
      </c>
      <c r="P14" s="691">
        <v>1</v>
      </c>
      <c r="Q14" s="691">
        <v>1</v>
      </c>
      <c r="R14" s="691">
        <v>1</v>
      </c>
      <c r="S14" s="691">
        <v>1</v>
      </c>
      <c r="T14" s="691">
        <v>1</v>
      </c>
      <c r="U14" s="691">
        <v>1</v>
      </c>
      <c r="V14" s="691">
        <v>1</v>
      </c>
      <c r="W14" s="691">
        <v>1</v>
      </c>
      <c r="X14" s="691">
        <v>1</v>
      </c>
      <c r="Y14" s="691">
        <v>1</v>
      </c>
      <c r="Z14" s="691">
        <v>1</v>
      </c>
      <c r="AA14" s="691">
        <v>1</v>
      </c>
      <c r="AB14" s="691">
        <v>1</v>
      </c>
      <c r="AC14" s="703">
        <v>1</v>
      </c>
      <c r="AD14" s="41"/>
      <c r="AE14" s="41"/>
      <c r="AF14" s="41"/>
      <c r="AG14" s="41"/>
      <c r="AH14" s="41"/>
      <c r="AI14" s="41"/>
      <c r="AJ14" s="41"/>
      <c r="AK14" s="41"/>
      <c r="AM14" s="52"/>
    </row>
    <row r="15" spans="1:39" ht="38.450000000000003" customHeight="1" thickBot="1">
      <c r="A15" s="1001"/>
      <c r="B15" s="1004"/>
      <c r="C15" s="1004"/>
      <c r="D15" s="1197"/>
      <c r="E15" s="704" t="s">
        <v>526</v>
      </c>
      <c r="F15" s="705">
        <v>1</v>
      </c>
      <c r="G15" s="705">
        <v>1</v>
      </c>
      <c r="H15" s="705">
        <v>1</v>
      </c>
      <c r="I15" s="705">
        <v>1</v>
      </c>
      <c r="J15" s="705">
        <v>1</v>
      </c>
      <c r="K15" s="705">
        <v>1</v>
      </c>
      <c r="L15" s="705">
        <v>1</v>
      </c>
      <c r="M15" s="705">
        <v>1</v>
      </c>
      <c r="N15" s="705">
        <v>1</v>
      </c>
      <c r="O15" s="705">
        <v>1</v>
      </c>
      <c r="P15" s="705">
        <v>1</v>
      </c>
      <c r="Q15" s="705">
        <v>1</v>
      </c>
      <c r="R15" s="705">
        <v>1</v>
      </c>
      <c r="S15" s="705">
        <v>1</v>
      </c>
      <c r="T15" s="705">
        <v>1</v>
      </c>
      <c r="U15" s="705">
        <v>1</v>
      </c>
      <c r="V15" s="705">
        <v>1</v>
      </c>
      <c r="W15" s="705">
        <v>1</v>
      </c>
      <c r="X15" s="705">
        <v>1</v>
      </c>
      <c r="Y15" s="705">
        <v>1</v>
      </c>
      <c r="Z15" s="705">
        <v>1</v>
      </c>
      <c r="AA15" s="705">
        <v>1</v>
      </c>
      <c r="AB15" s="705">
        <v>1</v>
      </c>
      <c r="AC15" s="706">
        <v>1</v>
      </c>
      <c r="AD15" s="41"/>
      <c r="AE15" s="41"/>
      <c r="AF15" s="41"/>
      <c r="AG15" s="41"/>
      <c r="AH15" s="41"/>
      <c r="AI15" s="41"/>
      <c r="AJ15" s="41"/>
      <c r="AK15" s="41"/>
      <c r="AM15" s="52"/>
    </row>
    <row r="16" spans="1:39" ht="38.65" customHeight="1">
      <c r="A16" s="1024" t="str">
        <f>A4</f>
        <v>Service and Back Up prep in Basement</v>
      </c>
      <c r="B16" s="1005" t="str">
        <f>B4</f>
        <v>ServiceAndBackUpPrep</v>
      </c>
      <c r="C16" s="1005" t="s">
        <v>713</v>
      </c>
      <c r="D16" s="1195" t="s">
        <v>714</v>
      </c>
      <c r="E16" s="564" t="s">
        <v>517</v>
      </c>
      <c r="F16" s="565">
        <v>1</v>
      </c>
      <c r="G16" s="565">
        <v>1</v>
      </c>
      <c r="H16" s="565">
        <v>1</v>
      </c>
      <c r="I16" s="565">
        <v>1</v>
      </c>
      <c r="J16" s="565">
        <v>1</v>
      </c>
      <c r="K16" s="565">
        <v>0.75</v>
      </c>
      <c r="L16" s="565">
        <v>0.75</v>
      </c>
      <c r="M16" s="565">
        <v>0.75</v>
      </c>
      <c r="N16" s="565">
        <v>0.4</v>
      </c>
      <c r="O16" s="565">
        <v>0.4</v>
      </c>
      <c r="P16" s="565">
        <v>0.4</v>
      </c>
      <c r="Q16" s="565">
        <v>0.4</v>
      </c>
      <c r="R16" s="565">
        <v>0.4</v>
      </c>
      <c r="S16" s="565">
        <v>0.4</v>
      </c>
      <c r="T16" s="565">
        <v>0.4</v>
      </c>
      <c r="U16" s="565">
        <v>0.4</v>
      </c>
      <c r="V16" s="565">
        <v>0.4</v>
      </c>
      <c r="W16" s="565">
        <v>0.75</v>
      </c>
      <c r="X16" s="565">
        <v>0.75</v>
      </c>
      <c r="Y16" s="565">
        <v>0.75</v>
      </c>
      <c r="Z16" s="565">
        <v>0.75</v>
      </c>
      <c r="AA16" s="565">
        <v>1</v>
      </c>
      <c r="AB16" s="565">
        <v>1</v>
      </c>
      <c r="AC16" s="566">
        <v>1</v>
      </c>
      <c r="AD16" s="41"/>
      <c r="AE16" s="41"/>
      <c r="AF16" s="41"/>
      <c r="AG16" s="41"/>
      <c r="AH16" s="41"/>
      <c r="AI16" s="41"/>
      <c r="AJ16" s="41"/>
      <c r="AK16" s="41"/>
      <c r="AM16" s="52"/>
    </row>
    <row r="17" spans="1:39" ht="38.65" customHeight="1">
      <c r="A17" s="1025"/>
      <c r="B17" s="1003"/>
      <c r="C17" s="1003"/>
      <c r="D17" s="1196"/>
      <c r="E17" s="503" t="s">
        <v>524</v>
      </c>
      <c r="F17" s="496">
        <v>0.9</v>
      </c>
      <c r="G17" s="496">
        <v>0.9</v>
      </c>
      <c r="H17" s="496">
        <v>0.9</v>
      </c>
      <c r="I17" s="496">
        <v>0.9</v>
      </c>
      <c r="J17" s="496">
        <v>0.9</v>
      </c>
      <c r="K17" s="496">
        <v>0.65</v>
      </c>
      <c r="L17" s="496">
        <v>0.65</v>
      </c>
      <c r="M17" s="496">
        <v>0.65</v>
      </c>
      <c r="N17" s="496">
        <v>0.3</v>
      </c>
      <c r="O17" s="496">
        <v>0.3</v>
      </c>
      <c r="P17" s="496">
        <v>0.3</v>
      </c>
      <c r="Q17" s="496">
        <v>0.3</v>
      </c>
      <c r="R17" s="496">
        <v>0.3</v>
      </c>
      <c r="S17" s="496">
        <v>0.3</v>
      </c>
      <c r="T17" s="496">
        <v>0.3</v>
      </c>
      <c r="U17" s="496">
        <v>0.3</v>
      </c>
      <c r="V17" s="496">
        <v>0.3</v>
      </c>
      <c r="W17" s="496">
        <v>0.7</v>
      </c>
      <c r="X17" s="496">
        <v>0.7</v>
      </c>
      <c r="Y17" s="496">
        <v>0.7</v>
      </c>
      <c r="Z17" s="496">
        <v>0.7</v>
      </c>
      <c r="AA17" s="496">
        <v>0.9</v>
      </c>
      <c r="AB17" s="496">
        <v>0.9</v>
      </c>
      <c r="AC17" s="567">
        <v>0.9</v>
      </c>
      <c r="AD17" s="41"/>
      <c r="AE17" s="41"/>
      <c r="AF17" s="41"/>
      <c r="AG17" s="41"/>
      <c r="AH17" s="41"/>
      <c r="AI17" s="41"/>
      <c r="AJ17" s="41"/>
      <c r="AK17" s="41"/>
      <c r="AM17" s="52"/>
    </row>
    <row r="18" spans="1:39" ht="38.65" customHeight="1" thickBot="1">
      <c r="A18" s="1035"/>
      <c r="B18" s="1004"/>
      <c r="C18" s="1004"/>
      <c r="D18" s="1197"/>
      <c r="E18" s="517" t="s">
        <v>526</v>
      </c>
      <c r="F18" s="520">
        <f>F17</f>
        <v>0.9</v>
      </c>
      <c r="G18" s="520">
        <f t="shared" ref="G18:AB18" si="0">G17</f>
        <v>0.9</v>
      </c>
      <c r="H18" s="520">
        <f t="shared" si="0"/>
        <v>0.9</v>
      </c>
      <c r="I18" s="520">
        <f t="shared" si="0"/>
        <v>0.9</v>
      </c>
      <c r="J18" s="520">
        <f t="shared" si="0"/>
        <v>0.9</v>
      </c>
      <c r="K18" s="520">
        <f t="shared" si="0"/>
        <v>0.65</v>
      </c>
      <c r="L18" s="520">
        <f t="shared" si="0"/>
        <v>0.65</v>
      </c>
      <c r="M18" s="520">
        <f t="shared" si="0"/>
        <v>0.65</v>
      </c>
      <c r="N18" s="520">
        <f t="shared" si="0"/>
        <v>0.3</v>
      </c>
      <c r="O18" s="520">
        <f t="shared" si="0"/>
        <v>0.3</v>
      </c>
      <c r="P18" s="520">
        <f t="shared" si="0"/>
        <v>0.3</v>
      </c>
      <c r="Q18" s="520">
        <f t="shared" si="0"/>
        <v>0.3</v>
      </c>
      <c r="R18" s="520">
        <f t="shared" si="0"/>
        <v>0.3</v>
      </c>
      <c r="S18" s="520">
        <f t="shared" si="0"/>
        <v>0.3</v>
      </c>
      <c r="T18" s="520">
        <f t="shared" si="0"/>
        <v>0.3</v>
      </c>
      <c r="U18" s="520">
        <f t="shared" si="0"/>
        <v>0.3</v>
      </c>
      <c r="V18" s="520">
        <f t="shared" si="0"/>
        <v>0.3</v>
      </c>
      <c r="W18" s="520">
        <f t="shared" si="0"/>
        <v>0.7</v>
      </c>
      <c r="X18" s="520">
        <f t="shared" si="0"/>
        <v>0.7</v>
      </c>
      <c r="Y18" s="520">
        <f t="shared" si="0"/>
        <v>0.7</v>
      </c>
      <c r="Z18" s="520">
        <f t="shared" si="0"/>
        <v>0.7</v>
      </c>
      <c r="AA18" s="520">
        <f t="shared" si="0"/>
        <v>0.9</v>
      </c>
      <c r="AB18" s="520">
        <f t="shared" si="0"/>
        <v>0.9</v>
      </c>
      <c r="AC18" s="837">
        <f>AC17</f>
        <v>0.9</v>
      </c>
      <c r="AD18" s="41"/>
      <c r="AE18" s="41"/>
      <c r="AF18" s="41"/>
      <c r="AG18" s="41"/>
      <c r="AH18" s="41"/>
      <c r="AI18" s="41"/>
      <c r="AJ18" s="41"/>
      <c r="AK18" s="41"/>
      <c r="AM18" s="52"/>
    </row>
    <row r="19" spans="1:39" ht="33" customHeight="1">
      <c r="A19" s="1024" t="str">
        <f>A7</f>
        <v>Service and Back Up prep in Basement</v>
      </c>
      <c r="B19" s="1005" t="str">
        <f>B7</f>
        <v>ServiceAndBackUpPrep</v>
      </c>
      <c r="C19" s="1005" t="s">
        <v>308</v>
      </c>
      <c r="D19" s="1006"/>
      <c r="E19" s="732" t="s">
        <v>517</v>
      </c>
      <c r="F19" s="823">
        <f>IF(F13=1,0.25,1)</f>
        <v>0.25</v>
      </c>
      <c r="G19" s="823">
        <f t="shared" ref="G19:AC21" si="1">IF(G13=1,0.25,1)</f>
        <v>0.25</v>
      </c>
      <c r="H19" s="823">
        <f t="shared" si="1"/>
        <v>0.25</v>
      </c>
      <c r="I19" s="823">
        <f t="shared" si="1"/>
        <v>0.25</v>
      </c>
      <c r="J19" s="823">
        <f t="shared" si="1"/>
        <v>0.25</v>
      </c>
      <c r="K19" s="823">
        <f t="shared" si="1"/>
        <v>0.25</v>
      </c>
      <c r="L19" s="823">
        <f t="shared" si="1"/>
        <v>0.25</v>
      </c>
      <c r="M19" s="823">
        <f t="shared" si="1"/>
        <v>0.25</v>
      </c>
      <c r="N19" s="823">
        <f t="shared" si="1"/>
        <v>0.25</v>
      </c>
      <c r="O19" s="823">
        <f t="shared" si="1"/>
        <v>0.25</v>
      </c>
      <c r="P19" s="823">
        <f t="shared" si="1"/>
        <v>0.25</v>
      </c>
      <c r="Q19" s="823">
        <f t="shared" si="1"/>
        <v>0.25</v>
      </c>
      <c r="R19" s="823">
        <f t="shared" si="1"/>
        <v>0.25</v>
      </c>
      <c r="S19" s="823">
        <f t="shared" si="1"/>
        <v>0.25</v>
      </c>
      <c r="T19" s="823">
        <f t="shared" si="1"/>
        <v>0.25</v>
      </c>
      <c r="U19" s="823">
        <f t="shared" si="1"/>
        <v>0.25</v>
      </c>
      <c r="V19" s="823">
        <f t="shared" si="1"/>
        <v>0.25</v>
      </c>
      <c r="W19" s="823">
        <f t="shared" si="1"/>
        <v>0.25</v>
      </c>
      <c r="X19" s="823">
        <f t="shared" si="1"/>
        <v>0.25</v>
      </c>
      <c r="Y19" s="823">
        <f t="shared" si="1"/>
        <v>0.25</v>
      </c>
      <c r="Z19" s="823">
        <f t="shared" si="1"/>
        <v>0.25</v>
      </c>
      <c r="AA19" s="823">
        <f t="shared" si="1"/>
        <v>0.25</v>
      </c>
      <c r="AB19" s="823">
        <f t="shared" si="1"/>
        <v>0.25</v>
      </c>
      <c r="AC19" s="747">
        <f t="shared" si="1"/>
        <v>0.25</v>
      </c>
    </row>
    <row r="20" spans="1:39" ht="33" customHeight="1">
      <c r="A20" s="1025"/>
      <c r="B20" s="1003"/>
      <c r="C20" s="1003"/>
      <c r="D20" s="1007"/>
      <c r="E20" s="735" t="s">
        <v>524</v>
      </c>
      <c r="F20" s="824">
        <f t="shared" ref="F20:U21" si="2">IF(F14=1,0.25,1)</f>
        <v>0.25</v>
      </c>
      <c r="G20" s="824">
        <f t="shared" si="2"/>
        <v>0.25</v>
      </c>
      <c r="H20" s="824">
        <f t="shared" si="2"/>
        <v>0.25</v>
      </c>
      <c r="I20" s="824">
        <f t="shared" si="2"/>
        <v>0.25</v>
      </c>
      <c r="J20" s="824">
        <f t="shared" si="2"/>
        <v>0.25</v>
      </c>
      <c r="K20" s="824">
        <f t="shared" si="2"/>
        <v>0.25</v>
      </c>
      <c r="L20" s="824">
        <f t="shared" si="2"/>
        <v>0.25</v>
      </c>
      <c r="M20" s="824">
        <f t="shared" si="2"/>
        <v>0.25</v>
      </c>
      <c r="N20" s="824">
        <f t="shared" si="2"/>
        <v>0.25</v>
      </c>
      <c r="O20" s="824">
        <f t="shared" si="2"/>
        <v>0.25</v>
      </c>
      <c r="P20" s="824">
        <f t="shared" si="2"/>
        <v>0.25</v>
      </c>
      <c r="Q20" s="824">
        <f t="shared" si="2"/>
        <v>0.25</v>
      </c>
      <c r="R20" s="824">
        <f t="shared" si="2"/>
        <v>0.25</v>
      </c>
      <c r="S20" s="824">
        <f t="shared" si="2"/>
        <v>0.25</v>
      </c>
      <c r="T20" s="824">
        <f t="shared" si="2"/>
        <v>0.25</v>
      </c>
      <c r="U20" s="824">
        <f t="shared" si="2"/>
        <v>0.25</v>
      </c>
      <c r="V20" s="824">
        <f t="shared" si="1"/>
        <v>0.25</v>
      </c>
      <c r="W20" s="824">
        <f t="shared" si="1"/>
        <v>0.25</v>
      </c>
      <c r="X20" s="824">
        <f t="shared" si="1"/>
        <v>0.25</v>
      </c>
      <c r="Y20" s="824">
        <f t="shared" si="1"/>
        <v>0.25</v>
      </c>
      <c r="Z20" s="824">
        <f t="shared" si="1"/>
        <v>0.25</v>
      </c>
      <c r="AA20" s="824">
        <f t="shared" si="1"/>
        <v>0.25</v>
      </c>
      <c r="AB20" s="824">
        <f t="shared" si="1"/>
        <v>0.25</v>
      </c>
      <c r="AC20" s="748">
        <f t="shared" si="1"/>
        <v>0.25</v>
      </c>
    </row>
    <row r="21" spans="1:39" ht="33" customHeight="1" thickBot="1">
      <c r="A21" s="1035"/>
      <c r="B21" s="1004"/>
      <c r="C21" s="1004"/>
      <c r="D21" s="1008"/>
      <c r="E21" s="737" t="s">
        <v>526</v>
      </c>
      <c r="F21" s="825">
        <f t="shared" si="2"/>
        <v>0.25</v>
      </c>
      <c r="G21" s="825">
        <f t="shared" si="1"/>
        <v>0.25</v>
      </c>
      <c r="H21" s="825">
        <f t="shared" si="1"/>
        <v>0.25</v>
      </c>
      <c r="I21" s="825">
        <f t="shared" si="1"/>
        <v>0.25</v>
      </c>
      <c r="J21" s="825">
        <f t="shared" si="1"/>
        <v>0.25</v>
      </c>
      <c r="K21" s="825">
        <f t="shared" si="1"/>
        <v>0.25</v>
      </c>
      <c r="L21" s="825">
        <f t="shared" si="1"/>
        <v>0.25</v>
      </c>
      <c r="M21" s="825">
        <f t="shared" si="1"/>
        <v>0.25</v>
      </c>
      <c r="N21" s="825">
        <f t="shared" si="1"/>
        <v>0.25</v>
      </c>
      <c r="O21" s="825">
        <f t="shared" si="1"/>
        <v>0.25</v>
      </c>
      <c r="P21" s="825">
        <f t="shared" si="1"/>
        <v>0.25</v>
      </c>
      <c r="Q21" s="825">
        <f t="shared" si="1"/>
        <v>0.25</v>
      </c>
      <c r="R21" s="825">
        <f t="shared" si="1"/>
        <v>0.25</v>
      </c>
      <c r="S21" s="825">
        <f t="shared" si="1"/>
        <v>0.25</v>
      </c>
      <c r="T21" s="825">
        <f t="shared" si="1"/>
        <v>0.25</v>
      </c>
      <c r="U21" s="825">
        <f t="shared" si="1"/>
        <v>0.25</v>
      </c>
      <c r="V21" s="825">
        <f t="shared" si="1"/>
        <v>0.25</v>
      </c>
      <c r="W21" s="825">
        <f t="shared" si="1"/>
        <v>0.25</v>
      </c>
      <c r="X21" s="825">
        <f t="shared" si="1"/>
        <v>0.25</v>
      </c>
      <c r="Y21" s="825">
        <f t="shared" si="1"/>
        <v>0.25</v>
      </c>
      <c r="Z21" s="825">
        <f t="shared" si="1"/>
        <v>0.25</v>
      </c>
      <c r="AA21" s="825">
        <f t="shared" si="1"/>
        <v>0.25</v>
      </c>
      <c r="AB21" s="825">
        <f t="shared" si="1"/>
        <v>0.25</v>
      </c>
      <c r="AC21" s="749">
        <f t="shared" si="1"/>
        <v>0.25</v>
      </c>
    </row>
    <row r="22" spans="1:39" ht="33" customHeight="1">
      <c r="A22" s="1024" t="str">
        <f>A10</f>
        <v>Service and Back Up prep in Basement</v>
      </c>
      <c r="B22" s="1005" t="str">
        <f>B10</f>
        <v>ServiceAndBackUpPrep</v>
      </c>
      <c r="C22" s="1005" t="s">
        <v>715</v>
      </c>
      <c r="D22" s="1006"/>
      <c r="E22" s="732" t="s">
        <v>517</v>
      </c>
      <c r="F22" s="823">
        <f>IF(F13=1,Thermostat!$B$3,Thermostat!$B$4)</f>
        <v>70</v>
      </c>
      <c r="G22" s="823">
        <f>IF(G13=1,Thermostat!$B$3,Thermostat!$B$4)</f>
        <v>70</v>
      </c>
      <c r="H22" s="823">
        <f>IF(H13=1,Thermostat!$B$3,Thermostat!$B$4)</f>
        <v>70</v>
      </c>
      <c r="I22" s="823">
        <f>IF(I13=1,Thermostat!$B$3,Thermostat!$B$4)</f>
        <v>70</v>
      </c>
      <c r="J22" s="823">
        <f>IF(J13=1,Thermostat!$B$3,Thermostat!$B$4)</f>
        <v>70</v>
      </c>
      <c r="K22" s="823">
        <f>IF(K13=1,Thermostat!$B$3,Thermostat!$B$4)</f>
        <v>70</v>
      </c>
      <c r="L22" s="823">
        <f>IF(L13=1,Thermostat!$B$3,Thermostat!$B$4)</f>
        <v>70</v>
      </c>
      <c r="M22" s="823">
        <f>IF(M13=1,Thermostat!$B$3,Thermostat!$B$4)</f>
        <v>70</v>
      </c>
      <c r="N22" s="823">
        <f>IF(N13=1,Thermostat!$B$3,Thermostat!$B$4)</f>
        <v>70</v>
      </c>
      <c r="O22" s="823">
        <f>IF(O13=1,Thermostat!$B$3,Thermostat!$B$4)</f>
        <v>70</v>
      </c>
      <c r="P22" s="823">
        <f>IF(P13=1,Thermostat!$B$3,Thermostat!$B$4)</f>
        <v>70</v>
      </c>
      <c r="Q22" s="823">
        <f>IF(Q13=1,Thermostat!$B$3,Thermostat!$B$4)</f>
        <v>70</v>
      </c>
      <c r="R22" s="823">
        <f>IF(R13=1,Thermostat!$B$3,Thermostat!$B$4)</f>
        <v>70</v>
      </c>
      <c r="S22" s="823">
        <f>IF(S13=1,Thermostat!$B$3,Thermostat!$B$4)</f>
        <v>70</v>
      </c>
      <c r="T22" s="823">
        <f>IF(T13=1,Thermostat!$B$3,Thermostat!$B$4)</f>
        <v>70</v>
      </c>
      <c r="U22" s="823">
        <f>IF(U13=1,Thermostat!$B$3,Thermostat!$B$4)</f>
        <v>70</v>
      </c>
      <c r="V22" s="823">
        <f>IF(V13=1,Thermostat!$B$3,Thermostat!$B$4)</f>
        <v>70</v>
      </c>
      <c r="W22" s="823">
        <f>IF(W13=1,Thermostat!$B$3,Thermostat!$B$4)</f>
        <v>70</v>
      </c>
      <c r="X22" s="823">
        <f>IF(X13=1,Thermostat!$B$3,Thermostat!$B$4)</f>
        <v>70</v>
      </c>
      <c r="Y22" s="823">
        <f>IF(Y13=1,Thermostat!$B$3,Thermostat!$B$4)</f>
        <v>70</v>
      </c>
      <c r="Z22" s="823">
        <f>IF(Z13=1,Thermostat!$B$3,Thermostat!$B$4)</f>
        <v>70</v>
      </c>
      <c r="AA22" s="823">
        <f>IF(AA13=1,Thermostat!$B$3,Thermostat!$B$4)</f>
        <v>70</v>
      </c>
      <c r="AB22" s="823">
        <f>IF(AB13=1,Thermostat!$B$3,Thermostat!$B$4)</f>
        <v>70</v>
      </c>
      <c r="AC22" s="747">
        <f>IF(AC13=1,Thermostat!$B$3,Thermostat!$B$4)</f>
        <v>70</v>
      </c>
    </row>
    <row r="23" spans="1:39" ht="33" customHeight="1">
      <c r="A23" s="1025"/>
      <c r="B23" s="1003"/>
      <c r="C23" s="1003"/>
      <c r="D23" s="1007"/>
      <c r="E23" s="735" t="s">
        <v>524</v>
      </c>
      <c r="F23" s="824">
        <f>IF(F14=1,Thermostat!$B$3,Thermostat!$B$4)</f>
        <v>70</v>
      </c>
      <c r="G23" s="824">
        <f>IF(G14=1,Thermostat!$B$3,Thermostat!$B$4)</f>
        <v>70</v>
      </c>
      <c r="H23" s="824">
        <f>IF(H14=1,Thermostat!$B$3,Thermostat!$B$4)</f>
        <v>70</v>
      </c>
      <c r="I23" s="824">
        <f>IF(I14=1,Thermostat!$B$3,Thermostat!$B$4)</f>
        <v>70</v>
      </c>
      <c r="J23" s="824">
        <f>IF(J14=1,Thermostat!$B$3,Thermostat!$B$4)</f>
        <v>70</v>
      </c>
      <c r="K23" s="824">
        <f>IF(K14=1,Thermostat!$B$3,Thermostat!$B$4)</f>
        <v>70</v>
      </c>
      <c r="L23" s="824">
        <f>IF(L14=1,Thermostat!$B$3,Thermostat!$B$4)</f>
        <v>70</v>
      </c>
      <c r="M23" s="824">
        <f>IF(M14=1,Thermostat!$B$3,Thermostat!$B$4)</f>
        <v>70</v>
      </c>
      <c r="N23" s="824">
        <f>IF(N14=1,Thermostat!$B$3,Thermostat!$B$4)</f>
        <v>70</v>
      </c>
      <c r="O23" s="824">
        <f>IF(O14=1,Thermostat!$B$3,Thermostat!$B$4)</f>
        <v>70</v>
      </c>
      <c r="P23" s="824">
        <f>IF(P14=1,Thermostat!$B$3,Thermostat!$B$4)</f>
        <v>70</v>
      </c>
      <c r="Q23" s="824">
        <f>IF(Q14=1,Thermostat!$B$3,Thermostat!$B$4)</f>
        <v>70</v>
      </c>
      <c r="R23" s="824">
        <f>IF(R14=1,Thermostat!$B$3,Thermostat!$B$4)</f>
        <v>70</v>
      </c>
      <c r="S23" s="824">
        <f>IF(S14=1,Thermostat!$B$3,Thermostat!$B$4)</f>
        <v>70</v>
      </c>
      <c r="T23" s="824">
        <f>IF(T14=1,Thermostat!$B$3,Thermostat!$B$4)</f>
        <v>70</v>
      </c>
      <c r="U23" s="824">
        <f>IF(U14=1,Thermostat!$B$3,Thermostat!$B$4)</f>
        <v>70</v>
      </c>
      <c r="V23" s="824">
        <f>IF(V14=1,Thermostat!$B$3,Thermostat!$B$4)</f>
        <v>70</v>
      </c>
      <c r="W23" s="824">
        <f>IF(W14=1,Thermostat!$B$3,Thermostat!$B$4)</f>
        <v>70</v>
      </c>
      <c r="X23" s="824">
        <f>IF(X14=1,Thermostat!$B$3,Thermostat!$B$4)</f>
        <v>70</v>
      </c>
      <c r="Y23" s="824">
        <f>IF(Y14=1,Thermostat!$B$3,Thermostat!$B$4)</f>
        <v>70</v>
      </c>
      <c r="Z23" s="824">
        <f>IF(Z14=1,Thermostat!$B$3,Thermostat!$B$4)</f>
        <v>70</v>
      </c>
      <c r="AA23" s="824">
        <f>IF(AA14=1,Thermostat!$B$3,Thermostat!$B$4)</f>
        <v>70</v>
      </c>
      <c r="AB23" s="824">
        <f>IF(AB14=1,Thermostat!$B$3,Thermostat!$B$4)</f>
        <v>70</v>
      </c>
      <c r="AC23" s="748">
        <f>IF(AC14=1,Thermostat!$B$3,Thermostat!$B$4)</f>
        <v>70</v>
      </c>
    </row>
    <row r="24" spans="1:39" ht="33" customHeight="1" thickBot="1">
      <c r="A24" s="1035"/>
      <c r="B24" s="1004"/>
      <c r="C24" s="1004"/>
      <c r="D24" s="1008"/>
      <c r="E24" s="737" t="s">
        <v>526</v>
      </c>
      <c r="F24" s="825">
        <f>IF(F15=1,Thermostat!$B$3,Thermostat!$B$4)</f>
        <v>70</v>
      </c>
      <c r="G24" s="825">
        <f>IF(G15=1,Thermostat!$B$3,Thermostat!$B$4)</f>
        <v>70</v>
      </c>
      <c r="H24" s="825">
        <f>IF(H15=1,Thermostat!$B$3,Thermostat!$B$4)</f>
        <v>70</v>
      </c>
      <c r="I24" s="825">
        <f>IF(I15=1,Thermostat!$B$3,Thermostat!$B$4)</f>
        <v>70</v>
      </c>
      <c r="J24" s="825">
        <f>IF(J15=1,Thermostat!$B$3,Thermostat!$B$4)</f>
        <v>70</v>
      </c>
      <c r="K24" s="825">
        <f>IF(K15=1,Thermostat!$B$3,Thermostat!$B$4)</f>
        <v>70</v>
      </c>
      <c r="L24" s="825">
        <f>IF(L15=1,Thermostat!$B$3,Thermostat!$B$4)</f>
        <v>70</v>
      </c>
      <c r="M24" s="825">
        <f>IF(M15=1,Thermostat!$B$3,Thermostat!$B$4)</f>
        <v>70</v>
      </c>
      <c r="N24" s="825">
        <f>IF(N15=1,Thermostat!$B$3,Thermostat!$B$4)</f>
        <v>70</v>
      </c>
      <c r="O24" s="825">
        <f>IF(O15=1,Thermostat!$B$3,Thermostat!$B$4)</f>
        <v>70</v>
      </c>
      <c r="P24" s="825">
        <f>IF(P15=1,Thermostat!$B$3,Thermostat!$B$4)</f>
        <v>70</v>
      </c>
      <c r="Q24" s="825">
        <f>IF(Q15=1,Thermostat!$B$3,Thermostat!$B$4)</f>
        <v>70</v>
      </c>
      <c r="R24" s="825">
        <f>IF(R15=1,Thermostat!$B$3,Thermostat!$B$4)</f>
        <v>70</v>
      </c>
      <c r="S24" s="825">
        <f>IF(S15=1,Thermostat!$B$3,Thermostat!$B$4)</f>
        <v>70</v>
      </c>
      <c r="T24" s="825">
        <f>IF(T15=1,Thermostat!$B$3,Thermostat!$B$4)</f>
        <v>70</v>
      </c>
      <c r="U24" s="825">
        <f>IF(U15=1,Thermostat!$B$3,Thermostat!$B$4)</f>
        <v>70</v>
      </c>
      <c r="V24" s="825">
        <f>IF(V15=1,Thermostat!$B$3,Thermostat!$B$4)</f>
        <v>70</v>
      </c>
      <c r="W24" s="825">
        <f>IF(W15=1,Thermostat!$B$3,Thermostat!$B$4)</f>
        <v>70</v>
      </c>
      <c r="X24" s="825">
        <f>IF(X15=1,Thermostat!$B$3,Thermostat!$B$4)</f>
        <v>70</v>
      </c>
      <c r="Y24" s="825">
        <f>IF(Y15=1,Thermostat!$B$3,Thermostat!$B$4)</f>
        <v>70</v>
      </c>
      <c r="Z24" s="825">
        <f>IF(Z15=1,Thermostat!$B$3,Thermostat!$B$4)</f>
        <v>70</v>
      </c>
      <c r="AA24" s="825">
        <f>IF(AA15=1,Thermostat!$B$3,Thermostat!$B$4)</f>
        <v>70</v>
      </c>
      <c r="AB24" s="825">
        <f>IF(AB15=1,Thermostat!$B$3,Thermostat!$B$4)</f>
        <v>70</v>
      </c>
      <c r="AC24" s="749">
        <f>IF(AC15=1,Thermostat!$B$3,Thermostat!$B$4)</f>
        <v>70</v>
      </c>
    </row>
    <row r="25" spans="1:39" ht="33" customHeight="1">
      <c r="A25" s="1024" t="str">
        <f>A13</f>
        <v>Service and Back Up prep in Basement</v>
      </c>
      <c r="B25" s="1005" t="str">
        <f>B13</f>
        <v>ServiceAndBackUpPrep</v>
      </c>
      <c r="C25" s="1005" t="s">
        <v>716</v>
      </c>
      <c r="D25" s="1198"/>
      <c r="E25" s="732" t="s">
        <v>517</v>
      </c>
      <c r="F25" s="823">
        <f>IF(F13=1,Thermostat!$B$5,Thermostat!$B$6)</f>
        <v>75</v>
      </c>
      <c r="G25" s="823">
        <f>IF(G13=1,Thermostat!$B$5,Thermostat!$B$6)</f>
        <v>75</v>
      </c>
      <c r="H25" s="823">
        <f>IF(H13=1,Thermostat!$B$5,Thermostat!$B$6)</f>
        <v>75</v>
      </c>
      <c r="I25" s="823">
        <f>IF(I13=1,Thermostat!$B$5,Thermostat!$B$6)</f>
        <v>75</v>
      </c>
      <c r="J25" s="823">
        <f>IF(J13=1,Thermostat!$B$5,Thermostat!$B$6)</f>
        <v>75</v>
      </c>
      <c r="K25" s="823">
        <f>IF(K13=1,Thermostat!$B$5,Thermostat!$B$6)</f>
        <v>75</v>
      </c>
      <c r="L25" s="823">
        <f>IF(L13=1,Thermostat!$B$5,Thermostat!$B$6)</f>
        <v>75</v>
      </c>
      <c r="M25" s="823">
        <f>IF(M13=1,Thermostat!$B$5,Thermostat!$B$6)</f>
        <v>75</v>
      </c>
      <c r="N25" s="823">
        <f>IF(N13=1,Thermostat!$B$5,Thermostat!$B$6)</f>
        <v>75</v>
      </c>
      <c r="O25" s="823">
        <f>IF(O13=1,Thermostat!$B$5,Thermostat!$B$6)</f>
        <v>75</v>
      </c>
      <c r="P25" s="823">
        <f>IF(P13=1,Thermostat!$B$5,Thermostat!$B$6)</f>
        <v>75</v>
      </c>
      <c r="Q25" s="823">
        <f>IF(Q13=1,Thermostat!$B$5,Thermostat!$B$6)</f>
        <v>75</v>
      </c>
      <c r="R25" s="823">
        <f>IF(R13=1,Thermostat!$B$5,Thermostat!$B$6)</f>
        <v>75</v>
      </c>
      <c r="S25" s="823">
        <f>IF(S13=1,Thermostat!$B$5,Thermostat!$B$6)</f>
        <v>75</v>
      </c>
      <c r="T25" s="823">
        <f>IF(T13=1,Thermostat!$B$5,Thermostat!$B$6)</f>
        <v>75</v>
      </c>
      <c r="U25" s="823">
        <f>IF(U13=1,Thermostat!$B$5,Thermostat!$B$6)</f>
        <v>75</v>
      </c>
      <c r="V25" s="823">
        <f>IF(V13=1,Thermostat!$B$5,Thermostat!$B$6)</f>
        <v>75</v>
      </c>
      <c r="W25" s="823">
        <f>IF(W13=1,Thermostat!$B$5,Thermostat!$B$6)</f>
        <v>75</v>
      </c>
      <c r="X25" s="823">
        <f>IF(X13=1,Thermostat!$B$5,Thermostat!$B$6)</f>
        <v>75</v>
      </c>
      <c r="Y25" s="823">
        <f>IF(Y13=1,Thermostat!$B$5,Thermostat!$B$6)</f>
        <v>75</v>
      </c>
      <c r="Z25" s="823">
        <f>IF(Z13=1,Thermostat!$B$5,Thermostat!$B$6)</f>
        <v>75</v>
      </c>
      <c r="AA25" s="823">
        <f>IF(AA13=1,Thermostat!$B$5,Thermostat!$B$6)</f>
        <v>75</v>
      </c>
      <c r="AB25" s="823">
        <f>IF(AB13=1,Thermostat!$B$5,Thermostat!$B$6)</f>
        <v>75</v>
      </c>
      <c r="AC25" s="747">
        <f>IF(AC13=1,Thermostat!$B$5,Thermostat!$B$6)</f>
        <v>75</v>
      </c>
    </row>
    <row r="26" spans="1:39" ht="33" customHeight="1">
      <c r="A26" s="1025"/>
      <c r="B26" s="1003"/>
      <c r="C26" s="1003"/>
      <c r="D26" s="1170"/>
      <c r="E26" s="735" t="s">
        <v>524</v>
      </c>
      <c r="F26" s="824">
        <f>IF(F14=1,Thermostat!$B$5,Thermostat!$B$6)</f>
        <v>75</v>
      </c>
      <c r="G26" s="824">
        <f>IF(G14=1,Thermostat!$B$5,Thermostat!$B$6)</f>
        <v>75</v>
      </c>
      <c r="H26" s="824">
        <f>IF(H14=1,Thermostat!$B$5,Thermostat!$B$6)</f>
        <v>75</v>
      </c>
      <c r="I26" s="824">
        <f>IF(I14=1,Thermostat!$B$5,Thermostat!$B$6)</f>
        <v>75</v>
      </c>
      <c r="J26" s="824">
        <f>IF(J14=1,Thermostat!$B$5,Thermostat!$B$6)</f>
        <v>75</v>
      </c>
      <c r="K26" s="824">
        <f>IF(K14=1,Thermostat!$B$5,Thermostat!$B$6)</f>
        <v>75</v>
      </c>
      <c r="L26" s="824">
        <f>IF(L14=1,Thermostat!$B$5,Thermostat!$B$6)</f>
        <v>75</v>
      </c>
      <c r="M26" s="824">
        <f>IF(M14=1,Thermostat!$B$5,Thermostat!$B$6)</f>
        <v>75</v>
      </c>
      <c r="N26" s="824">
        <f>IF(N14=1,Thermostat!$B$5,Thermostat!$B$6)</f>
        <v>75</v>
      </c>
      <c r="O26" s="824">
        <f>IF(O14=1,Thermostat!$B$5,Thermostat!$B$6)</f>
        <v>75</v>
      </c>
      <c r="P26" s="824">
        <f>IF(P14=1,Thermostat!$B$5,Thermostat!$B$6)</f>
        <v>75</v>
      </c>
      <c r="Q26" s="824">
        <f>IF(Q14=1,Thermostat!$B$5,Thermostat!$B$6)</f>
        <v>75</v>
      </c>
      <c r="R26" s="824">
        <f>IF(R14=1,Thermostat!$B$5,Thermostat!$B$6)</f>
        <v>75</v>
      </c>
      <c r="S26" s="824">
        <f>IF(S14=1,Thermostat!$B$5,Thermostat!$B$6)</f>
        <v>75</v>
      </c>
      <c r="T26" s="824">
        <f>IF(T14=1,Thermostat!$B$5,Thermostat!$B$6)</f>
        <v>75</v>
      </c>
      <c r="U26" s="824">
        <f>IF(U14=1,Thermostat!$B$5,Thermostat!$B$6)</f>
        <v>75</v>
      </c>
      <c r="V26" s="824">
        <f>IF(V14=1,Thermostat!$B$5,Thermostat!$B$6)</f>
        <v>75</v>
      </c>
      <c r="W26" s="824">
        <f>IF(W14=1,Thermostat!$B$5,Thermostat!$B$6)</f>
        <v>75</v>
      </c>
      <c r="X26" s="824">
        <f>IF(X14=1,Thermostat!$B$5,Thermostat!$B$6)</f>
        <v>75</v>
      </c>
      <c r="Y26" s="824">
        <f>IF(Y14=1,Thermostat!$B$5,Thermostat!$B$6)</f>
        <v>75</v>
      </c>
      <c r="Z26" s="824">
        <f>IF(Z14=1,Thermostat!$B$5,Thermostat!$B$6)</f>
        <v>75</v>
      </c>
      <c r="AA26" s="824">
        <f>IF(AA14=1,Thermostat!$B$5,Thermostat!$B$6)</f>
        <v>75</v>
      </c>
      <c r="AB26" s="824">
        <f>IF(AB14=1,Thermostat!$B$5,Thermostat!$B$6)</f>
        <v>75</v>
      </c>
      <c r="AC26" s="748">
        <f>IF(AC14=1,Thermostat!$B$5,Thermostat!$B$6)</f>
        <v>75</v>
      </c>
    </row>
    <row r="27" spans="1:39" ht="33" customHeight="1" thickBot="1">
      <c r="A27" s="1035"/>
      <c r="B27" s="1004"/>
      <c r="C27" s="1004"/>
      <c r="D27" s="1199"/>
      <c r="E27" s="737" t="s">
        <v>526</v>
      </c>
      <c r="F27" s="825">
        <f>IF(F15=1,Thermostat!$B$5,Thermostat!$B$6)</f>
        <v>75</v>
      </c>
      <c r="G27" s="825">
        <f>IF(G15=1,Thermostat!$B$5,Thermostat!$B$6)</f>
        <v>75</v>
      </c>
      <c r="H27" s="825">
        <f>IF(H15=1,Thermostat!$B$5,Thermostat!$B$6)</f>
        <v>75</v>
      </c>
      <c r="I27" s="825">
        <f>IF(I15=1,Thermostat!$B$5,Thermostat!$B$6)</f>
        <v>75</v>
      </c>
      <c r="J27" s="825">
        <f>IF(J15=1,Thermostat!$B$5,Thermostat!$B$6)</f>
        <v>75</v>
      </c>
      <c r="K27" s="825">
        <f>IF(K15=1,Thermostat!$B$5,Thermostat!$B$6)</f>
        <v>75</v>
      </c>
      <c r="L27" s="825">
        <f>IF(L15=1,Thermostat!$B$5,Thermostat!$B$6)</f>
        <v>75</v>
      </c>
      <c r="M27" s="825">
        <f>IF(M15=1,Thermostat!$B$5,Thermostat!$B$6)</f>
        <v>75</v>
      </c>
      <c r="N27" s="825">
        <f>IF(N15=1,Thermostat!$B$5,Thermostat!$B$6)</f>
        <v>75</v>
      </c>
      <c r="O27" s="825">
        <f>IF(O15=1,Thermostat!$B$5,Thermostat!$B$6)</f>
        <v>75</v>
      </c>
      <c r="P27" s="825">
        <f>IF(P15=1,Thermostat!$B$5,Thermostat!$B$6)</f>
        <v>75</v>
      </c>
      <c r="Q27" s="825">
        <f>IF(Q15=1,Thermostat!$B$5,Thermostat!$B$6)</f>
        <v>75</v>
      </c>
      <c r="R27" s="825">
        <f>IF(R15=1,Thermostat!$B$5,Thermostat!$B$6)</f>
        <v>75</v>
      </c>
      <c r="S27" s="825">
        <f>IF(S15=1,Thermostat!$B$5,Thermostat!$B$6)</f>
        <v>75</v>
      </c>
      <c r="T27" s="825">
        <f>IF(T15=1,Thermostat!$B$5,Thermostat!$B$6)</f>
        <v>75</v>
      </c>
      <c r="U27" s="825">
        <f>IF(U15=1,Thermostat!$B$5,Thermostat!$B$6)</f>
        <v>75</v>
      </c>
      <c r="V27" s="825">
        <f>IF(V15=1,Thermostat!$B$5,Thermostat!$B$6)</f>
        <v>75</v>
      </c>
      <c r="W27" s="825">
        <f>IF(W15=1,Thermostat!$B$5,Thermostat!$B$6)</f>
        <v>75</v>
      </c>
      <c r="X27" s="825">
        <f>IF(X15=1,Thermostat!$B$5,Thermostat!$B$6)</f>
        <v>75</v>
      </c>
      <c r="Y27" s="825">
        <f>IF(Y15=1,Thermostat!$B$5,Thermostat!$B$6)</f>
        <v>75</v>
      </c>
      <c r="Z27" s="825">
        <f>IF(Z15=1,Thermostat!$B$5,Thermostat!$B$6)</f>
        <v>75</v>
      </c>
      <c r="AA27" s="825">
        <f>IF(AA15=1,Thermostat!$B$5,Thermostat!$B$6)</f>
        <v>75</v>
      </c>
      <c r="AB27" s="825">
        <f>IF(AB15=1,Thermostat!$B$5,Thermostat!$B$6)</f>
        <v>75</v>
      </c>
      <c r="AC27" s="749">
        <f>IF(AC15=1,Thermostat!$B$5,Thermostat!$B$6)</f>
        <v>75</v>
      </c>
    </row>
    <row r="28" spans="1:39" ht="34.9" customHeight="1" thickBot="1">
      <c r="A28" s="1148" t="s">
        <v>188</v>
      </c>
      <c r="B28" s="1149"/>
      <c r="C28" s="1149"/>
      <c r="D28" s="1149"/>
      <c r="E28" s="1149"/>
      <c r="F28" s="1149"/>
      <c r="G28" s="1149"/>
      <c r="H28" s="1149"/>
      <c r="I28" s="1149"/>
      <c r="J28" s="1149"/>
      <c r="K28" s="1149"/>
      <c r="L28" s="1149"/>
      <c r="M28" s="1149"/>
      <c r="N28" s="1149"/>
      <c r="O28" s="1149"/>
      <c r="P28" s="1149"/>
      <c r="Q28" s="1149"/>
      <c r="R28" s="1149"/>
      <c r="S28" s="1149"/>
      <c r="T28" s="1149"/>
      <c r="U28" s="1149"/>
      <c r="V28" s="1149"/>
      <c r="W28" s="1149"/>
      <c r="X28" s="1149"/>
      <c r="Y28" s="1149"/>
      <c r="Z28" s="1149"/>
      <c r="AA28" s="1149"/>
      <c r="AB28" s="1149"/>
      <c r="AC28" s="1150"/>
      <c r="AD28" s="41"/>
      <c r="AE28" s="41"/>
      <c r="AF28" s="41"/>
      <c r="AG28" s="41"/>
      <c r="AH28" s="41"/>
      <c r="AI28" s="41"/>
      <c r="AJ28" s="41"/>
      <c r="AK28" s="41"/>
    </row>
    <row r="29" spans="1:39" ht="37.9" customHeight="1">
      <c r="A29" s="1024" t="s">
        <v>717</v>
      </c>
      <c r="B29" s="1089" t="s">
        <v>188</v>
      </c>
      <c r="C29" s="1089" t="s">
        <v>706</v>
      </c>
      <c r="D29" s="1187" t="s">
        <v>718</v>
      </c>
      <c r="E29" s="564" t="s">
        <v>517</v>
      </c>
      <c r="F29" s="565">
        <v>0</v>
      </c>
      <c r="G29" s="565">
        <v>0</v>
      </c>
      <c r="H29" s="565">
        <v>0</v>
      </c>
      <c r="I29" s="565">
        <v>0</v>
      </c>
      <c r="J29" s="565">
        <v>0</v>
      </c>
      <c r="K29" s="565">
        <v>0</v>
      </c>
      <c r="L29" s="565">
        <v>0</v>
      </c>
      <c r="M29" s="565">
        <v>0</v>
      </c>
      <c r="N29" s="565">
        <v>0.2</v>
      </c>
      <c r="O29" s="565">
        <v>0.2</v>
      </c>
      <c r="P29" s="565">
        <v>0.2</v>
      </c>
      <c r="Q29" s="565">
        <v>0.8</v>
      </c>
      <c r="R29" s="565">
        <v>0.8</v>
      </c>
      <c r="S29" s="565">
        <v>0.8</v>
      </c>
      <c r="T29" s="565">
        <v>0.8</v>
      </c>
      <c r="U29" s="565">
        <v>0.8</v>
      </c>
      <c r="V29" s="565">
        <v>0.8</v>
      </c>
      <c r="W29" s="565">
        <v>0.8</v>
      </c>
      <c r="X29" s="565">
        <v>0.2</v>
      </c>
      <c r="Y29" s="565">
        <v>0.2</v>
      </c>
      <c r="Z29" s="565">
        <v>0.2</v>
      </c>
      <c r="AA29" s="565">
        <v>0.2</v>
      </c>
      <c r="AB29" s="565">
        <v>0.1</v>
      </c>
      <c r="AC29" s="566">
        <v>0</v>
      </c>
      <c r="AD29" s="41"/>
      <c r="AE29" s="41"/>
      <c r="AF29" s="41"/>
      <c r="AG29" s="41"/>
      <c r="AH29" s="41"/>
      <c r="AI29" s="41"/>
      <c r="AJ29" s="41"/>
      <c r="AK29" s="41"/>
    </row>
    <row r="30" spans="1:39" ht="37.9" customHeight="1">
      <c r="A30" s="1025"/>
      <c r="B30" s="1090"/>
      <c r="C30" s="1090"/>
      <c r="D30" s="1126"/>
      <c r="E30" s="503" t="s">
        <v>524</v>
      </c>
      <c r="F30" s="496">
        <v>0</v>
      </c>
      <c r="G30" s="496">
        <v>0</v>
      </c>
      <c r="H30" s="496">
        <v>0</v>
      </c>
      <c r="I30" s="496">
        <v>0</v>
      </c>
      <c r="J30" s="496">
        <v>0</v>
      </c>
      <c r="K30" s="496">
        <v>0</v>
      </c>
      <c r="L30" s="496">
        <v>0</v>
      </c>
      <c r="M30" s="496">
        <v>0</v>
      </c>
      <c r="N30" s="496">
        <v>0.2</v>
      </c>
      <c r="O30" s="496">
        <v>0.2</v>
      </c>
      <c r="P30" s="496">
        <v>0.2</v>
      </c>
      <c r="Q30" s="496">
        <v>0.6</v>
      </c>
      <c r="R30" s="496">
        <v>0.6</v>
      </c>
      <c r="S30" s="496">
        <v>0.6</v>
      </c>
      <c r="T30" s="496">
        <v>0.6</v>
      </c>
      <c r="U30" s="496">
        <v>0.6</v>
      </c>
      <c r="V30" s="496">
        <v>0.6</v>
      </c>
      <c r="W30" s="496">
        <v>0.6</v>
      </c>
      <c r="X30" s="496">
        <v>0.6</v>
      </c>
      <c r="Y30" s="496">
        <v>0.6</v>
      </c>
      <c r="Z30" s="496">
        <v>0.6</v>
      </c>
      <c r="AA30" s="496">
        <v>0.8</v>
      </c>
      <c r="AB30" s="496">
        <v>0.1</v>
      </c>
      <c r="AC30" s="567">
        <v>0</v>
      </c>
      <c r="AD30" s="41"/>
      <c r="AE30" s="41"/>
      <c r="AF30" s="41"/>
      <c r="AG30" s="41"/>
      <c r="AH30" s="41"/>
      <c r="AI30" s="41"/>
      <c r="AJ30" s="41"/>
      <c r="AK30" s="41"/>
    </row>
    <row r="31" spans="1:39" ht="37.9" customHeight="1" thickBot="1">
      <c r="A31" s="1035"/>
      <c r="B31" s="1091"/>
      <c r="C31" s="1091"/>
      <c r="D31" s="1188"/>
      <c r="E31" s="568" t="s">
        <v>526</v>
      </c>
      <c r="F31" s="569">
        <v>0</v>
      </c>
      <c r="G31" s="569">
        <v>0</v>
      </c>
      <c r="H31" s="569">
        <v>0</v>
      </c>
      <c r="I31" s="569">
        <v>0</v>
      </c>
      <c r="J31" s="569">
        <v>0</v>
      </c>
      <c r="K31" s="569">
        <v>0</v>
      </c>
      <c r="L31" s="569">
        <v>0</v>
      </c>
      <c r="M31" s="569">
        <v>0</v>
      </c>
      <c r="N31" s="569">
        <v>0.1</v>
      </c>
      <c r="O31" s="569">
        <v>0.1</v>
      </c>
      <c r="P31" s="569">
        <v>0.1</v>
      </c>
      <c r="Q31" s="569">
        <v>0.1</v>
      </c>
      <c r="R31" s="569">
        <v>0.1</v>
      </c>
      <c r="S31" s="569">
        <v>0.7</v>
      </c>
      <c r="T31" s="569">
        <v>0.7</v>
      </c>
      <c r="U31" s="569">
        <v>0.7</v>
      </c>
      <c r="V31" s="569">
        <v>0.7</v>
      </c>
      <c r="W31" s="569">
        <v>0.7</v>
      </c>
      <c r="X31" s="569">
        <v>0.7</v>
      </c>
      <c r="Y31" s="569">
        <v>0.7</v>
      </c>
      <c r="Z31" s="569">
        <v>0.7</v>
      </c>
      <c r="AA31" s="569">
        <v>0.7</v>
      </c>
      <c r="AB31" s="569">
        <v>0.2</v>
      </c>
      <c r="AC31" s="570">
        <v>0</v>
      </c>
      <c r="AD31" s="41"/>
      <c r="AE31" s="41"/>
      <c r="AF31" s="41"/>
      <c r="AG31" s="41"/>
      <c r="AH31" s="41"/>
      <c r="AI31" s="41"/>
      <c r="AJ31" s="41"/>
      <c r="AK31" s="41"/>
    </row>
    <row r="32" spans="1:39" ht="38.65" customHeight="1">
      <c r="A32" s="1024" t="s">
        <v>719</v>
      </c>
      <c r="B32" s="1128" t="str">
        <f>B29</f>
        <v>Assembly</v>
      </c>
      <c r="C32" s="1099" t="s">
        <v>708</v>
      </c>
      <c r="D32" s="1176" t="str">
        <f>D29</f>
        <v>T24 2022 - Appendix 5.4B, [Assembly]</v>
      </c>
      <c r="E32" s="505" t="s">
        <v>517</v>
      </c>
      <c r="F32" s="518">
        <v>0.05</v>
      </c>
      <c r="G32" s="518">
        <v>0.05</v>
      </c>
      <c r="H32" s="518">
        <v>0.05</v>
      </c>
      <c r="I32" s="518">
        <v>0.05</v>
      </c>
      <c r="J32" s="518">
        <v>0.05</v>
      </c>
      <c r="K32" s="518">
        <v>0.05</v>
      </c>
      <c r="L32" s="518">
        <v>0.35</v>
      </c>
      <c r="M32" s="518">
        <v>0.35</v>
      </c>
      <c r="N32" s="518">
        <v>0.35</v>
      </c>
      <c r="O32" s="518">
        <v>0.65</v>
      </c>
      <c r="P32" s="518">
        <v>0.65</v>
      </c>
      <c r="Q32" s="518">
        <v>0.65</v>
      </c>
      <c r="R32" s="518">
        <v>0.65</v>
      </c>
      <c r="S32" s="518">
        <v>0.65</v>
      </c>
      <c r="T32" s="518">
        <v>0.65</v>
      </c>
      <c r="U32" s="518">
        <v>0.65</v>
      </c>
      <c r="V32" s="518">
        <v>0.65</v>
      </c>
      <c r="W32" s="518">
        <v>0.65</v>
      </c>
      <c r="X32" s="518">
        <v>0.65</v>
      </c>
      <c r="Y32" s="518">
        <v>0.65</v>
      </c>
      <c r="Z32" s="518">
        <v>0.65</v>
      </c>
      <c r="AA32" s="518">
        <v>0.65</v>
      </c>
      <c r="AB32" s="518">
        <v>0.25</v>
      </c>
      <c r="AC32" s="519">
        <v>0.05</v>
      </c>
      <c r="AD32" s="41"/>
      <c r="AE32" s="41"/>
      <c r="AF32" s="41"/>
      <c r="AG32" s="41"/>
      <c r="AH32" s="41"/>
      <c r="AI32" s="41"/>
      <c r="AJ32" s="41"/>
      <c r="AK32" s="41"/>
      <c r="AM32" s="52"/>
    </row>
    <row r="33" spans="1:39" ht="38.65" customHeight="1">
      <c r="A33" s="1025"/>
      <c r="B33" s="1096"/>
      <c r="C33" s="1090"/>
      <c r="D33" s="1126"/>
      <c r="E33" s="503" t="s">
        <v>524</v>
      </c>
      <c r="F33" s="496">
        <v>0.05</v>
      </c>
      <c r="G33" s="496">
        <v>0.05</v>
      </c>
      <c r="H33" s="496">
        <v>0.05</v>
      </c>
      <c r="I33" s="496">
        <v>0.05</v>
      </c>
      <c r="J33" s="496">
        <v>0.05</v>
      </c>
      <c r="K33" s="496">
        <v>0.05</v>
      </c>
      <c r="L33" s="496">
        <v>0.05</v>
      </c>
      <c r="M33" s="496">
        <v>0.3</v>
      </c>
      <c r="N33" s="496">
        <v>0.3</v>
      </c>
      <c r="O33" s="496">
        <v>0.4</v>
      </c>
      <c r="P33" s="496">
        <v>0.4</v>
      </c>
      <c r="Q33" s="496">
        <v>0.4</v>
      </c>
      <c r="R33" s="496">
        <v>0.4</v>
      </c>
      <c r="S33" s="496">
        <v>0.4</v>
      </c>
      <c r="T33" s="496">
        <v>0.4</v>
      </c>
      <c r="U33" s="496">
        <v>0.4</v>
      </c>
      <c r="V33" s="496">
        <v>0.4</v>
      </c>
      <c r="W33" s="496">
        <v>0.4</v>
      </c>
      <c r="X33" s="496">
        <v>0.4</v>
      </c>
      <c r="Y33" s="496">
        <v>0.4</v>
      </c>
      <c r="Z33" s="496">
        <v>0.4</v>
      </c>
      <c r="AA33" s="496">
        <v>0.4</v>
      </c>
      <c r="AB33" s="496">
        <v>0.4</v>
      </c>
      <c r="AC33" s="499">
        <v>0.05</v>
      </c>
      <c r="AD33" s="41"/>
      <c r="AE33" s="41"/>
      <c r="AF33" s="41"/>
      <c r="AG33" s="41"/>
      <c r="AH33" s="41"/>
      <c r="AI33" s="41"/>
      <c r="AJ33" s="41"/>
      <c r="AK33" s="41"/>
      <c r="AM33" s="52"/>
    </row>
    <row r="34" spans="1:39" ht="38.65" customHeight="1" thickBot="1">
      <c r="A34" s="1035"/>
      <c r="B34" s="1131"/>
      <c r="C34" s="1100"/>
      <c r="D34" s="1138"/>
      <c r="E34" s="504" t="s">
        <v>526</v>
      </c>
      <c r="F34" s="500">
        <v>0.05</v>
      </c>
      <c r="G34" s="500">
        <v>0.05</v>
      </c>
      <c r="H34" s="500">
        <v>0.05</v>
      </c>
      <c r="I34" s="500">
        <v>0.05</v>
      </c>
      <c r="J34" s="500">
        <v>0.05</v>
      </c>
      <c r="K34" s="500">
        <v>0.05</v>
      </c>
      <c r="L34" s="500">
        <v>0.05</v>
      </c>
      <c r="M34" s="500">
        <v>0.3</v>
      </c>
      <c r="N34" s="500">
        <v>0.3</v>
      </c>
      <c r="O34" s="500">
        <v>0.3</v>
      </c>
      <c r="P34" s="500">
        <v>0.3</v>
      </c>
      <c r="Q34" s="500">
        <v>0.3</v>
      </c>
      <c r="R34" s="500">
        <v>0.55000000000000004</v>
      </c>
      <c r="S34" s="500">
        <v>0.55000000000000004</v>
      </c>
      <c r="T34" s="500">
        <v>0.55000000000000004</v>
      </c>
      <c r="U34" s="500">
        <v>0.55000000000000004</v>
      </c>
      <c r="V34" s="500">
        <v>0.55000000000000004</v>
      </c>
      <c r="W34" s="500">
        <v>0.55000000000000004</v>
      </c>
      <c r="X34" s="500">
        <v>0.55000000000000004</v>
      </c>
      <c r="Y34" s="500">
        <v>0.55000000000000004</v>
      </c>
      <c r="Z34" s="500">
        <v>0.55000000000000004</v>
      </c>
      <c r="AA34" s="500">
        <v>0.55000000000000004</v>
      </c>
      <c r="AB34" s="500">
        <v>0.05</v>
      </c>
      <c r="AC34" s="501">
        <v>0.05</v>
      </c>
      <c r="AD34" s="41"/>
      <c r="AE34" s="41"/>
      <c r="AF34" s="41"/>
      <c r="AG34" s="41"/>
      <c r="AH34" s="41"/>
      <c r="AI34" s="41"/>
      <c r="AJ34" s="41"/>
      <c r="AK34" s="41"/>
      <c r="AM34" s="52"/>
    </row>
    <row r="35" spans="1:39" ht="38.65" customHeight="1">
      <c r="A35" s="1024" t="str">
        <f>A29</f>
        <v>Storage, Mech, Laundry, Banquet</v>
      </c>
      <c r="B35" s="1124" t="str">
        <f t="shared" ref="B35" si="3">B32</f>
        <v>Assembly</v>
      </c>
      <c r="C35" s="1034" t="s">
        <v>710</v>
      </c>
      <c r="D35" s="1176" t="str">
        <f t="shared" ref="D35" si="4">D32</f>
        <v>T24 2022 - Appendix 5.4B, [Assembly]</v>
      </c>
      <c r="E35" s="502" t="s">
        <v>517</v>
      </c>
      <c r="F35" s="497">
        <v>0.05</v>
      </c>
      <c r="G35" s="497">
        <v>0.05</v>
      </c>
      <c r="H35" s="497">
        <v>0.05</v>
      </c>
      <c r="I35" s="497">
        <v>0.05</v>
      </c>
      <c r="J35" s="497">
        <v>0.05</v>
      </c>
      <c r="K35" s="497">
        <v>0.05</v>
      </c>
      <c r="L35" s="497">
        <v>0.4</v>
      </c>
      <c r="M35" s="497">
        <v>0.4</v>
      </c>
      <c r="N35" s="497">
        <v>0.4</v>
      </c>
      <c r="O35" s="497">
        <v>0.75</v>
      </c>
      <c r="P35" s="497">
        <v>0.75</v>
      </c>
      <c r="Q35" s="497">
        <v>0.75</v>
      </c>
      <c r="R35" s="497">
        <v>0.75</v>
      </c>
      <c r="S35" s="497">
        <v>0.75</v>
      </c>
      <c r="T35" s="497">
        <v>0.75</v>
      </c>
      <c r="U35" s="497">
        <v>0.75</v>
      </c>
      <c r="V35" s="497">
        <v>0.75</v>
      </c>
      <c r="W35" s="497">
        <v>0.75</v>
      </c>
      <c r="X35" s="497">
        <v>0.75</v>
      </c>
      <c r="Y35" s="497">
        <v>0.75</v>
      </c>
      <c r="Z35" s="497">
        <v>0.75</v>
      </c>
      <c r="AA35" s="497">
        <v>0.75</v>
      </c>
      <c r="AB35" s="497">
        <v>0.25</v>
      </c>
      <c r="AC35" s="498">
        <v>0.05</v>
      </c>
      <c r="AD35" s="41"/>
      <c r="AE35" s="41"/>
      <c r="AF35" s="41"/>
      <c r="AG35" s="41"/>
      <c r="AH35" s="41"/>
      <c r="AI35" s="41"/>
      <c r="AJ35" s="41"/>
      <c r="AK35" s="41"/>
      <c r="AM35" s="52"/>
    </row>
    <row r="36" spans="1:39" ht="38.65" customHeight="1">
      <c r="A36" s="1025"/>
      <c r="B36" s="1096"/>
      <c r="C36" s="1003"/>
      <c r="D36" s="1126"/>
      <c r="E36" s="503" t="s">
        <v>524</v>
      </c>
      <c r="F36" s="496">
        <v>0.05</v>
      </c>
      <c r="G36" s="496">
        <v>0.05</v>
      </c>
      <c r="H36" s="496">
        <v>0.05</v>
      </c>
      <c r="I36" s="496">
        <v>0.05</v>
      </c>
      <c r="J36" s="496">
        <v>0.05</v>
      </c>
      <c r="K36" s="496">
        <v>0.05</v>
      </c>
      <c r="L36" s="496">
        <v>0.05</v>
      </c>
      <c r="M36" s="496">
        <v>0.3</v>
      </c>
      <c r="N36" s="496">
        <v>0.3</v>
      </c>
      <c r="O36" s="496">
        <v>0.5</v>
      </c>
      <c r="P36" s="496">
        <v>0.5</v>
      </c>
      <c r="Q36" s="496">
        <v>0.5</v>
      </c>
      <c r="R36" s="496">
        <v>0.5</v>
      </c>
      <c r="S36" s="496">
        <v>0.5</v>
      </c>
      <c r="T36" s="496">
        <v>0.5</v>
      </c>
      <c r="U36" s="496">
        <v>0.5</v>
      </c>
      <c r="V36" s="496">
        <v>0.5</v>
      </c>
      <c r="W36" s="496">
        <v>0.5</v>
      </c>
      <c r="X36" s="496">
        <v>0.5</v>
      </c>
      <c r="Y36" s="496">
        <v>0.5</v>
      </c>
      <c r="Z36" s="496">
        <v>0.5</v>
      </c>
      <c r="AA36" s="496">
        <v>0.5</v>
      </c>
      <c r="AB36" s="496">
        <v>0.5</v>
      </c>
      <c r="AC36" s="499">
        <v>0.05</v>
      </c>
      <c r="AD36" s="41"/>
      <c r="AE36" s="41"/>
      <c r="AF36" s="41"/>
      <c r="AG36" s="41"/>
      <c r="AH36" s="41"/>
      <c r="AI36" s="41"/>
      <c r="AJ36" s="41"/>
      <c r="AK36" s="41"/>
      <c r="AM36" s="52"/>
    </row>
    <row r="37" spans="1:39" ht="38.65" customHeight="1" thickBot="1">
      <c r="A37" s="1035"/>
      <c r="B37" s="1131"/>
      <c r="C37" s="1030"/>
      <c r="D37" s="1138"/>
      <c r="E37" s="517" t="s">
        <v>526</v>
      </c>
      <c r="F37" s="520">
        <v>0.05</v>
      </c>
      <c r="G37" s="520">
        <v>0.05</v>
      </c>
      <c r="H37" s="520">
        <v>0.05</v>
      </c>
      <c r="I37" s="520">
        <v>0.05</v>
      </c>
      <c r="J37" s="520">
        <v>0.05</v>
      </c>
      <c r="K37" s="520">
        <v>0.05</v>
      </c>
      <c r="L37" s="520">
        <v>0.05</v>
      </c>
      <c r="M37" s="520">
        <v>0.3</v>
      </c>
      <c r="N37" s="520">
        <v>0.3</v>
      </c>
      <c r="O37" s="520">
        <v>0.3</v>
      </c>
      <c r="P37" s="520">
        <v>0.3</v>
      </c>
      <c r="Q37" s="520">
        <v>0.3</v>
      </c>
      <c r="R37" s="520">
        <v>0.65</v>
      </c>
      <c r="S37" s="520">
        <v>0.65</v>
      </c>
      <c r="T37" s="520">
        <v>0.65</v>
      </c>
      <c r="U37" s="520">
        <v>0.65</v>
      </c>
      <c r="V37" s="520">
        <v>0.65</v>
      </c>
      <c r="W37" s="520">
        <v>0.65</v>
      </c>
      <c r="X37" s="520">
        <v>0.65</v>
      </c>
      <c r="Y37" s="520">
        <v>0.65</v>
      </c>
      <c r="Z37" s="520">
        <v>0.65</v>
      </c>
      <c r="AA37" s="520">
        <v>0.65</v>
      </c>
      <c r="AB37" s="520">
        <v>0.05</v>
      </c>
      <c r="AC37" s="521">
        <v>0.05</v>
      </c>
      <c r="AD37" s="41"/>
      <c r="AE37" s="41"/>
      <c r="AF37" s="41"/>
      <c r="AG37" s="41"/>
      <c r="AH37" s="41"/>
      <c r="AI37" s="41"/>
      <c r="AJ37" s="41"/>
      <c r="AK37" s="41"/>
      <c r="AM37" s="52"/>
    </row>
    <row r="38" spans="1:39" ht="38.450000000000003" customHeight="1">
      <c r="A38" s="1024" t="str">
        <f>A29</f>
        <v>Storage, Mech, Laundry, Banquet</v>
      </c>
      <c r="B38" s="1124" t="str">
        <f t="shared" ref="B38" si="5">B35</f>
        <v>Assembly</v>
      </c>
      <c r="C38" s="1034" t="s">
        <v>711</v>
      </c>
      <c r="D38" s="1176" t="str">
        <f t="shared" ref="D38" si="6">D35</f>
        <v>T24 2022 - Appendix 5.4B, [Assembly]</v>
      </c>
      <c r="E38" s="502" t="s">
        <v>517</v>
      </c>
      <c r="F38" s="497">
        <v>0</v>
      </c>
      <c r="G38" s="497">
        <v>0</v>
      </c>
      <c r="H38" s="497">
        <v>0</v>
      </c>
      <c r="I38" s="497">
        <v>0</v>
      </c>
      <c r="J38" s="497">
        <v>0</v>
      </c>
      <c r="K38" s="497">
        <v>0</v>
      </c>
      <c r="L38" s="497">
        <v>0</v>
      </c>
      <c r="M38" s="497">
        <v>1</v>
      </c>
      <c r="N38" s="497">
        <v>1</v>
      </c>
      <c r="O38" s="497">
        <v>1</v>
      </c>
      <c r="P38" s="497">
        <v>1</v>
      </c>
      <c r="Q38" s="497">
        <v>1</v>
      </c>
      <c r="R38" s="497">
        <v>1</v>
      </c>
      <c r="S38" s="497">
        <v>1</v>
      </c>
      <c r="T38" s="497">
        <v>1</v>
      </c>
      <c r="U38" s="497">
        <v>1</v>
      </c>
      <c r="V38" s="497">
        <v>1</v>
      </c>
      <c r="W38" s="497">
        <v>1</v>
      </c>
      <c r="X38" s="497">
        <v>1</v>
      </c>
      <c r="Y38" s="497">
        <v>1</v>
      </c>
      <c r="Z38" s="497">
        <v>1</v>
      </c>
      <c r="AA38" s="497">
        <v>1</v>
      </c>
      <c r="AB38" s="497">
        <v>1</v>
      </c>
      <c r="AC38" s="498">
        <v>0</v>
      </c>
      <c r="AD38" s="41"/>
      <c r="AE38" s="41"/>
      <c r="AF38" s="41"/>
      <c r="AG38" s="41"/>
      <c r="AH38" s="41"/>
      <c r="AI38" s="41"/>
      <c r="AJ38" s="41"/>
      <c r="AK38" s="41"/>
      <c r="AM38" s="52"/>
    </row>
    <row r="39" spans="1:39" ht="38.65" customHeight="1">
      <c r="A39" s="1025"/>
      <c r="B39" s="1096"/>
      <c r="C39" s="1003"/>
      <c r="D39" s="1126"/>
      <c r="E39" s="503" t="s">
        <v>524</v>
      </c>
      <c r="F39" s="496">
        <v>0</v>
      </c>
      <c r="G39" s="496">
        <v>0</v>
      </c>
      <c r="H39" s="496">
        <v>0</v>
      </c>
      <c r="I39" s="496">
        <v>0</v>
      </c>
      <c r="J39" s="496">
        <v>0</v>
      </c>
      <c r="K39" s="496">
        <v>0</v>
      </c>
      <c r="L39" s="496">
        <v>0</v>
      </c>
      <c r="M39" s="496">
        <v>1</v>
      </c>
      <c r="N39" s="496">
        <v>1</v>
      </c>
      <c r="O39" s="496">
        <v>1</v>
      </c>
      <c r="P39" s="496">
        <v>1</v>
      </c>
      <c r="Q39" s="496">
        <v>1</v>
      </c>
      <c r="R39" s="496">
        <v>1</v>
      </c>
      <c r="S39" s="496">
        <v>1</v>
      </c>
      <c r="T39" s="496">
        <v>1</v>
      </c>
      <c r="U39" s="496">
        <v>1</v>
      </c>
      <c r="V39" s="496">
        <v>1</v>
      </c>
      <c r="W39" s="496">
        <v>1</v>
      </c>
      <c r="X39" s="496">
        <v>1</v>
      </c>
      <c r="Y39" s="496">
        <v>1</v>
      </c>
      <c r="Z39" s="496">
        <v>1</v>
      </c>
      <c r="AA39" s="496">
        <v>1</v>
      </c>
      <c r="AB39" s="496">
        <v>1</v>
      </c>
      <c r="AC39" s="499">
        <v>0</v>
      </c>
      <c r="AD39" s="41"/>
      <c r="AE39" s="41"/>
      <c r="AF39" s="41"/>
      <c r="AG39" s="41"/>
      <c r="AH39" s="41"/>
      <c r="AI39" s="41"/>
      <c r="AJ39" s="41"/>
      <c r="AK39" s="41"/>
      <c r="AM39" s="52"/>
    </row>
    <row r="40" spans="1:39" ht="38.450000000000003" customHeight="1" thickBot="1">
      <c r="A40" s="1035"/>
      <c r="B40" s="1131"/>
      <c r="C40" s="1036"/>
      <c r="D40" s="1138"/>
      <c r="E40" s="504" t="s">
        <v>526</v>
      </c>
      <c r="F40" s="500">
        <v>0</v>
      </c>
      <c r="G40" s="500">
        <v>0</v>
      </c>
      <c r="H40" s="500">
        <v>0</v>
      </c>
      <c r="I40" s="500">
        <v>0</v>
      </c>
      <c r="J40" s="500">
        <v>0</v>
      </c>
      <c r="K40" s="500">
        <v>0</v>
      </c>
      <c r="L40" s="500">
        <v>0</v>
      </c>
      <c r="M40" s="500">
        <v>1</v>
      </c>
      <c r="N40" s="500">
        <v>1</v>
      </c>
      <c r="O40" s="500">
        <v>1</v>
      </c>
      <c r="P40" s="500">
        <v>1</v>
      </c>
      <c r="Q40" s="500">
        <v>1</v>
      </c>
      <c r="R40" s="500">
        <v>1</v>
      </c>
      <c r="S40" s="500">
        <v>1</v>
      </c>
      <c r="T40" s="500">
        <v>1</v>
      </c>
      <c r="U40" s="500">
        <v>1</v>
      </c>
      <c r="V40" s="500">
        <v>1</v>
      </c>
      <c r="W40" s="500">
        <v>1</v>
      </c>
      <c r="X40" s="500">
        <v>1</v>
      </c>
      <c r="Y40" s="500">
        <v>1</v>
      </c>
      <c r="Z40" s="500">
        <v>1</v>
      </c>
      <c r="AA40" s="500">
        <v>1</v>
      </c>
      <c r="AB40" s="500">
        <v>1</v>
      </c>
      <c r="AC40" s="501">
        <v>0</v>
      </c>
      <c r="AD40" s="41"/>
      <c r="AE40" s="41"/>
      <c r="AF40" s="41"/>
      <c r="AG40" s="41"/>
      <c r="AH40" s="41"/>
      <c r="AI40" s="41"/>
      <c r="AJ40" s="41"/>
      <c r="AK40" s="41"/>
      <c r="AM40" s="52"/>
    </row>
    <row r="41" spans="1:39" ht="38.65" customHeight="1">
      <c r="A41" s="1024" t="str">
        <f>A29</f>
        <v>Storage, Mech, Laundry, Banquet</v>
      </c>
      <c r="B41" s="1124" t="str">
        <f>B38</f>
        <v>Assembly</v>
      </c>
      <c r="C41" s="1029" t="s">
        <v>713</v>
      </c>
      <c r="D41" s="1176" t="str">
        <f>D38</f>
        <v>T24 2022 - Appendix 5.4B, [Assembly]</v>
      </c>
      <c r="E41" s="505" t="s">
        <v>517</v>
      </c>
      <c r="F41" s="518">
        <v>0</v>
      </c>
      <c r="G41" s="518">
        <v>0</v>
      </c>
      <c r="H41" s="518">
        <v>0</v>
      </c>
      <c r="I41" s="518">
        <v>0</v>
      </c>
      <c r="J41" s="518">
        <v>0</v>
      </c>
      <c r="K41" s="518">
        <v>0</v>
      </c>
      <c r="L41" s="518">
        <v>0</v>
      </c>
      <c r="M41" s="518">
        <v>0</v>
      </c>
      <c r="N41" s="518">
        <v>0</v>
      </c>
      <c r="O41" s="518">
        <v>0.05</v>
      </c>
      <c r="P41" s="518">
        <v>0.05</v>
      </c>
      <c r="Q41" s="518">
        <v>0.35</v>
      </c>
      <c r="R41" s="518">
        <v>0.05</v>
      </c>
      <c r="S41" s="518">
        <v>0.05</v>
      </c>
      <c r="T41" s="518">
        <v>0.05</v>
      </c>
      <c r="U41" s="518">
        <v>0.05</v>
      </c>
      <c r="V41" s="518">
        <v>0.05</v>
      </c>
      <c r="W41" s="518">
        <v>0</v>
      </c>
      <c r="X41" s="518">
        <v>0</v>
      </c>
      <c r="Y41" s="518">
        <v>0</v>
      </c>
      <c r="Z41" s="518">
        <v>0</v>
      </c>
      <c r="AA41" s="518">
        <v>0</v>
      </c>
      <c r="AB41" s="518">
        <v>0</v>
      </c>
      <c r="AC41" s="519">
        <v>0</v>
      </c>
      <c r="AD41" s="41"/>
      <c r="AE41" s="41"/>
      <c r="AF41" s="41"/>
      <c r="AG41" s="41"/>
      <c r="AH41" s="41"/>
      <c r="AI41" s="41"/>
      <c r="AJ41" s="41"/>
      <c r="AK41" s="41"/>
      <c r="AM41" s="52"/>
    </row>
    <row r="42" spans="1:39" ht="38.65" customHeight="1">
      <c r="A42" s="1025"/>
      <c r="B42" s="1096"/>
      <c r="C42" s="1003"/>
      <c r="D42" s="1126"/>
      <c r="E42" s="503" t="s">
        <v>524</v>
      </c>
      <c r="F42" s="496">
        <v>0</v>
      </c>
      <c r="G42" s="496">
        <v>0</v>
      </c>
      <c r="H42" s="496">
        <v>0</v>
      </c>
      <c r="I42" s="496">
        <v>0</v>
      </c>
      <c r="J42" s="496">
        <v>0</v>
      </c>
      <c r="K42" s="496">
        <v>0</v>
      </c>
      <c r="L42" s="496">
        <v>0</v>
      </c>
      <c r="M42" s="496">
        <v>0</v>
      </c>
      <c r="N42" s="496">
        <v>0</v>
      </c>
      <c r="O42" s="496">
        <v>0.05</v>
      </c>
      <c r="P42" s="496">
        <v>0.05</v>
      </c>
      <c r="Q42" s="496">
        <v>0.2</v>
      </c>
      <c r="R42" s="496">
        <v>0</v>
      </c>
      <c r="S42" s="496">
        <v>0</v>
      </c>
      <c r="T42" s="496">
        <v>0</v>
      </c>
      <c r="U42" s="496">
        <v>0</v>
      </c>
      <c r="V42" s="496">
        <v>0</v>
      </c>
      <c r="W42" s="496">
        <v>0</v>
      </c>
      <c r="X42" s="496">
        <v>0</v>
      </c>
      <c r="Y42" s="496">
        <v>0.65</v>
      </c>
      <c r="Z42" s="496">
        <v>0.3</v>
      </c>
      <c r="AA42" s="496">
        <v>0</v>
      </c>
      <c r="AB42" s="496">
        <v>0</v>
      </c>
      <c r="AC42" s="499">
        <v>0</v>
      </c>
      <c r="AD42" s="41"/>
      <c r="AE42" s="41"/>
      <c r="AF42" s="41"/>
      <c r="AG42" s="41"/>
      <c r="AH42" s="41"/>
      <c r="AI42" s="41"/>
      <c r="AJ42" s="41"/>
      <c r="AK42" s="41"/>
      <c r="AM42" s="52"/>
    </row>
    <row r="43" spans="1:39" ht="38.65" customHeight="1" thickBot="1">
      <c r="A43" s="1035"/>
      <c r="B43" s="1131"/>
      <c r="C43" s="1036"/>
      <c r="D43" s="1138"/>
      <c r="E43" s="504" t="s">
        <v>526</v>
      </c>
      <c r="F43" s="500">
        <v>0</v>
      </c>
      <c r="G43" s="500">
        <v>0</v>
      </c>
      <c r="H43" s="500">
        <v>0</v>
      </c>
      <c r="I43" s="500">
        <v>0</v>
      </c>
      <c r="J43" s="500">
        <v>0</v>
      </c>
      <c r="K43" s="500">
        <v>0</v>
      </c>
      <c r="L43" s="500">
        <v>0</v>
      </c>
      <c r="M43" s="500">
        <v>0</v>
      </c>
      <c r="N43" s="500">
        <v>0</v>
      </c>
      <c r="O43" s="500">
        <v>0.05</v>
      </c>
      <c r="P43" s="500">
        <v>0.05</v>
      </c>
      <c r="Q43" s="500">
        <v>0.1</v>
      </c>
      <c r="R43" s="500">
        <v>0</v>
      </c>
      <c r="S43" s="500">
        <v>0</v>
      </c>
      <c r="T43" s="500">
        <v>0</v>
      </c>
      <c r="U43" s="500">
        <v>0</v>
      </c>
      <c r="V43" s="500">
        <v>0</v>
      </c>
      <c r="W43" s="500">
        <v>0</v>
      </c>
      <c r="X43" s="500">
        <v>0</v>
      </c>
      <c r="Y43" s="500">
        <v>0.65</v>
      </c>
      <c r="Z43" s="500">
        <v>0.3</v>
      </c>
      <c r="AA43" s="500">
        <v>0</v>
      </c>
      <c r="AB43" s="500">
        <v>0</v>
      </c>
      <c r="AC43" s="501">
        <v>0</v>
      </c>
      <c r="AD43" s="41"/>
      <c r="AE43" s="41"/>
      <c r="AF43" s="41"/>
      <c r="AG43" s="41"/>
      <c r="AH43" s="41"/>
      <c r="AI43" s="41"/>
      <c r="AJ43" s="41"/>
      <c r="AK43" s="41"/>
      <c r="AM43" s="52"/>
    </row>
    <row r="44" spans="1:39" ht="38.65" customHeight="1">
      <c r="A44" s="1024" t="str">
        <f>A29</f>
        <v>Storage, Mech, Laundry, Banquet</v>
      </c>
      <c r="B44" s="1124" t="str">
        <f t="shared" ref="B44" si="7">B41</f>
        <v>Assembly</v>
      </c>
      <c r="C44" s="1029" t="s">
        <v>308</v>
      </c>
      <c r="D44" s="1176" t="str">
        <f>D41</f>
        <v>T24 2022 - Appendix 5.4B, [Assembly]</v>
      </c>
      <c r="E44" s="505" t="s">
        <v>517</v>
      </c>
      <c r="F44" s="518">
        <v>1</v>
      </c>
      <c r="G44" s="518">
        <v>1</v>
      </c>
      <c r="H44" s="518">
        <v>1</v>
      </c>
      <c r="I44" s="518">
        <v>1</v>
      </c>
      <c r="J44" s="518">
        <v>1</v>
      </c>
      <c r="K44" s="518">
        <v>1</v>
      </c>
      <c r="L44" s="518">
        <v>1</v>
      </c>
      <c r="M44" s="518">
        <v>0.25</v>
      </c>
      <c r="N44" s="518">
        <v>0.25</v>
      </c>
      <c r="O44" s="518">
        <v>0.25</v>
      </c>
      <c r="P44" s="518">
        <v>0.25</v>
      </c>
      <c r="Q44" s="518">
        <v>0.25</v>
      </c>
      <c r="R44" s="518">
        <v>0.25</v>
      </c>
      <c r="S44" s="518">
        <v>0.25</v>
      </c>
      <c r="T44" s="518">
        <v>0.25</v>
      </c>
      <c r="U44" s="518">
        <v>0.25</v>
      </c>
      <c r="V44" s="518">
        <v>0.25</v>
      </c>
      <c r="W44" s="518">
        <v>0.25</v>
      </c>
      <c r="X44" s="518">
        <v>0.25</v>
      </c>
      <c r="Y44" s="518">
        <v>0.25</v>
      </c>
      <c r="Z44" s="518">
        <v>0.25</v>
      </c>
      <c r="AA44" s="518">
        <v>0.25</v>
      </c>
      <c r="AB44" s="518">
        <v>0.25</v>
      </c>
      <c r="AC44" s="519">
        <v>1</v>
      </c>
      <c r="AD44" s="41"/>
      <c r="AE44" s="41"/>
      <c r="AF44" s="41"/>
      <c r="AG44" s="41"/>
      <c r="AH44" s="41"/>
      <c r="AI44" s="41"/>
      <c r="AJ44" s="41"/>
      <c r="AK44" s="41"/>
      <c r="AM44" s="52"/>
    </row>
    <row r="45" spans="1:39" ht="38.65" customHeight="1">
      <c r="A45" s="1025"/>
      <c r="B45" s="1096"/>
      <c r="C45" s="1003"/>
      <c r="D45" s="1126"/>
      <c r="E45" s="503" t="s">
        <v>524</v>
      </c>
      <c r="F45" s="496">
        <v>1</v>
      </c>
      <c r="G45" s="496">
        <v>1</v>
      </c>
      <c r="H45" s="496">
        <v>1</v>
      </c>
      <c r="I45" s="496">
        <v>1</v>
      </c>
      <c r="J45" s="496">
        <v>1</v>
      </c>
      <c r="K45" s="496">
        <v>1</v>
      </c>
      <c r="L45" s="496">
        <v>1</v>
      </c>
      <c r="M45" s="496">
        <v>0.25</v>
      </c>
      <c r="N45" s="496">
        <v>0.25</v>
      </c>
      <c r="O45" s="496">
        <v>0.25</v>
      </c>
      <c r="P45" s="496">
        <v>0.25</v>
      </c>
      <c r="Q45" s="496">
        <v>0.25</v>
      </c>
      <c r="R45" s="496">
        <v>0.25</v>
      </c>
      <c r="S45" s="496">
        <v>0.25</v>
      </c>
      <c r="T45" s="496">
        <v>0.25</v>
      </c>
      <c r="U45" s="496">
        <v>0.25</v>
      </c>
      <c r="V45" s="496">
        <v>0.25</v>
      </c>
      <c r="W45" s="496">
        <v>0.25</v>
      </c>
      <c r="X45" s="496">
        <v>0.25</v>
      </c>
      <c r="Y45" s="496">
        <v>0.25</v>
      </c>
      <c r="Z45" s="496">
        <v>0.25</v>
      </c>
      <c r="AA45" s="496">
        <v>0.25</v>
      </c>
      <c r="AB45" s="496">
        <v>0.25</v>
      </c>
      <c r="AC45" s="499">
        <v>1</v>
      </c>
      <c r="AD45" s="41"/>
      <c r="AE45" s="41"/>
      <c r="AF45" s="41"/>
      <c r="AG45" s="41"/>
      <c r="AH45" s="41"/>
      <c r="AI45" s="41"/>
      <c r="AJ45" s="41"/>
      <c r="AK45" s="41"/>
      <c r="AM45" s="52"/>
    </row>
    <row r="46" spans="1:39" ht="38.65" customHeight="1" thickBot="1">
      <c r="A46" s="1035"/>
      <c r="B46" s="1131"/>
      <c r="C46" s="1030"/>
      <c r="D46" s="1138"/>
      <c r="E46" s="517" t="s">
        <v>526</v>
      </c>
      <c r="F46" s="520">
        <v>1</v>
      </c>
      <c r="G46" s="520">
        <v>1</v>
      </c>
      <c r="H46" s="520">
        <v>1</v>
      </c>
      <c r="I46" s="520">
        <v>1</v>
      </c>
      <c r="J46" s="520">
        <v>1</v>
      </c>
      <c r="K46" s="520">
        <v>1</v>
      </c>
      <c r="L46" s="520">
        <v>1</v>
      </c>
      <c r="M46" s="520">
        <v>0.25</v>
      </c>
      <c r="N46" s="520">
        <v>0.25</v>
      </c>
      <c r="O46" s="520">
        <v>0.25</v>
      </c>
      <c r="P46" s="520">
        <v>0.25</v>
      </c>
      <c r="Q46" s="520">
        <v>0.25</v>
      </c>
      <c r="R46" s="520">
        <v>0.25</v>
      </c>
      <c r="S46" s="520">
        <v>0.25</v>
      </c>
      <c r="T46" s="520">
        <v>0.25</v>
      </c>
      <c r="U46" s="520">
        <v>0.25</v>
      </c>
      <c r="V46" s="520">
        <v>0.25</v>
      </c>
      <c r="W46" s="520">
        <v>0.25</v>
      </c>
      <c r="X46" s="520">
        <v>0.25</v>
      </c>
      <c r="Y46" s="520">
        <v>0.25</v>
      </c>
      <c r="Z46" s="520">
        <v>0.25</v>
      </c>
      <c r="AA46" s="520">
        <v>0.25</v>
      </c>
      <c r="AB46" s="520">
        <v>0.25</v>
      </c>
      <c r="AC46" s="521">
        <v>1</v>
      </c>
      <c r="AD46" s="41"/>
      <c r="AE46" s="41"/>
      <c r="AF46" s="41"/>
      <c r="AG46" s="41"/>
      <c r="AH46" s="41"/>
      <c r="AI46" s="41"/>
      <c r="AJ46" s="41"/>
      <c r="AK46" s="41"/>
      <c r="AM46" s="52"/>
    </row>
    <row r="47" spans="1:39" ht="36" customHeight="1">
      <c r="A47" s="1024" t="s">
        <v>126</v>
      </c>
      <c r="B47" s="1124" t="str">
        <f>B44</f>
        <v>Assembly</v>
      </c>
      <c r="C47" s="1034" t="s">
        <v>720</v>
      </c>
      <c r="D47" s="1176" t="str">
        <f t="shared" ref="D47" si="8">D44</f>
        <v>T24 2022 - Appendix 5.4B, [Assembly]</v>
      </c>
      <c r="E47" s="502" t="s">
        <v>517</v>
      </c>
      <c r="F47" s="497">
        <v>0</v>
      </c>
      <c r="G47" s="497">
        <v>0</v>
      </c>
      <c r="H47" s="497">
        <v>0</v>
      </c>
      <c r="I47" s="497">
        <v>0</v>
      </c>
      <c r="J47" s="497">
        <v>0</v>
      </c>
      <c r="K47" s="497">
        <v>0</v>
      </c>
      <c r="L47" s="497">
        <v>0</v>
      </c>
      <c r="M47" s="497">
        <v>0</v>
      </c>
      <c r="N47" s="497">
        <v>0.3</v>
      </c>
      <c r="O47" s="497">
        <v>0.3</v>
      </c>
      <c r="P47" s="497">
        <v>0.2</v>
      </c>
      <c r="Q47" s="497">
        <v>0.9</v>
      </c>
      <c r="R47" s="497">
        <v>0.9</v>
      </c>
      <c r="S47" s="497">
        <v>0.9</v>
      </c>
      <c r="T47" s="497">
        <v>0.2</v>
      </c>
      <c r="U47" s="497">
        <v>0.2</v>
      </c>
      <c r="V47" s="497">
        <v>0.2</v>
      </c>
      <c r="W47" s="497">
        <v>0.5</v>
      </c>
      <c r="X47" s="497">
        <v>0.5</v>
      </c>
      <c r="Y47" s="497">
        <v>0.1</v>
      </c>
      <c r="Z47" s="497">
        <v>0.1</v>
      </c>
      <c r="AA47" s="497">
        <v>0.1</v>
      </c>
      <c r="AB47" s="497">
        <v>0</v>
      </c>
      <c r="AC47" s="498">
        <v>0</v>
      </c>
      <c r="AD47" s="42"/>
      <c r="AE47" s="41"/>
      <c r="AF47" s="41"/>
      <c r="AG47" s="41"/>
      <c r="AH47" s="41"/>
      <c r="AI47" s="41"/>
      <c r="AJ47" s="41"/>
      <c r="AK47" s="41"/>
      <c r="AM47" s="52"/>
    </row>
    <row r="48" spans="1:39" ht="36" customHeight="1">
      <c r="A48" s="1025"/>
      <c r="B48" s="1096"/>
      <c r="C48" s="1003"/>
      <c r="D48" s="1126"/>
      <c r="E48" s="503" t="s">
        <v>524</v>
      </c>
      <c r="F48" s="496">
        <v>0</v>
      </c>
      <c r="G48" s="496">
        <v>0</v>
      </c>
      <c r="H48" s="496">
        <v>0</v>
      </c>
      <c r="I48" s="496">
        <v>0</v>
      </c>
      <c r="J48" s="496">
        <v>0</v>
      </c>
      <c r="K48" s="496">
        <v>0</v>
      </c>
      <c r="L48" s="496">
        <v>0</v>
      </c>
      <c r="M48" s="496">
        <v>0</v>
      </c>
      <c r="N48" s="496">
        <v>0.3</v>
      </c>
      <c r="O48" s="496">
        <v>0.3</v>
      </c>
      <c r="P48" s="496">
        <v>0.2</v>
      </c>
      <c r="Q48" s="496">
        <v>0.7</v>
      </c>
      <c r="R48" s="496">
        <v>0.7</v>
      </c>
      <c r="S48" s="496">
        <v>0.7</v>
      </c>
      <c r="T48" s="496">
        <v>0.2</v>
      </c>
      <c r="U48" s="496">
        <v>0.2</v>
      </c>
      <c r="V48" s="496">
        <v>0.2</v>
      </c>
      <c r="W48" s="496">
        <v>0.4</v>
      </c>
      <c r="X48" s="496">
        <v>0.4</v>
      </c>
      <c r="Y48" s="496">
        <v>0.1</v>
      </c>
      <c r="Z48" s="496">
        <v>0.1</v>
      </c>
      <c r="AA48" s="496">
        <v>0.1</v>
      </c>
      <c r="AB48" s="496">
        <v>0</v>
      </c>
      <c r="AC48" s="499">
        <v>0</v>
      </c>
      <c r="AD48" s="42"/>
      <c r="AE48" s="41"/>
      <c r="AF48" s="41"/>
      <c r="AG48" s="41"/>
      <c r="AH48" s="41"/>
      <c r="AI48" s="41"/>
      <c r="AJ48" s="41"/>
      <c r="AK48" s="41"/>
      <c r="AM48" s="52"/>
    </row>
    <row r="49" spans="1:39" ht="36" customHeight="1" thickBot="1">
      <c r="A49" s="1035"/>
      <c r="B49" s="1131"/>
      <c r="C49" s="1036"/>
      <c r="D49" s="1138"/>
      <c r="E49" s="504" t="s">
        <v>526</v>
      </c>
      <c r="F49" s="500">
        <v>0</v>
      </c>
      <c r="G49" s="500">
        <v>0</v>
      </c>
      <c r="H49" s="500">
        <v>0</v>
      </c>
      <c r="I49" s="500">
        <v>0</v>
      </c>
      <c r="J49" s="500">
        <v>0</v>
      </c>
      <c r="K49" s="500">
        <v>0</v>
      </c>
      <c r="L49" s="500">
        <v>0</v>
      </c>
      <c r="M49" s="500">
        <v>0</v>
      </c>
      <c r="N49" s="500">
        <v>0.2</v>
      </c>
      <c r="O49" s="500">
        <v>0.2</v>
      </c>
      <c r="P49" s="500">
        <v>0.1</v>
      </c>
      <c r="Q49" s="500">
        <v>0.1</v>
      </c>
      <c r="R49" s="500">
        <v>0.3</v>
      </c>
      <c r="S49" s="500">
        <v>0.8</v>
      </c>
      <c r="T49" s="500">
        <v>0.2</v>
      </c>
      <c r="U49" s="500">
        <v>0.2</v>
      </c>
      <c r="V49" s="500">
        <v>0.2</v>
      </c>
      <c r="W49" s="500">
        <v>0.5</v>
      </c>
      <c r="X49" s="500">
        <v>0.5</v>
      </c>
      <c r="Y49" s="500">
        <v>0.1</v>
      </c>
      <c r="Z49" s="500">
        <v>0.1</v>
      </c>
      <c r="AA49" s="500">
        <v>0.1</v>
      </c>
      <c r="AB49" s="500">
        <v>0</v>
      </c>
      <c r="AC49" s="501">
        <v>0</v>
      </c>
      <c r="AD49" s="42"/>
      <c r="AE49" s="41"/>
      <c r="AF49" s="41"/>
      <c r="AG49" s="41"/>
      <c r="AH49" s="41"/>
      <c r="AI49" s="41"/>
      <c r="AJ49" s="41"/>
      <c r="AK49" s="41"/>
      <c r="AM49" s="52"/>
    </row>
    <row r="50" spans="1:39" ht="36" customHeight="1">
      <c r="A50" s="1024" t="str">
        <f>A29</f>
        <v>Storage, Mech, Laundry, Banquet</v>
      </c>
      <c r="B50" s="1124" t="str">
        <f>B47</f>
        <v>Assembly</v>
      </c>
      <c r="C50" s="1099" t="s">
        <v>715</v>
      </c>
      <c r="D50" s="1176" t="str">
        <f t="shared" ref="D50" si="9">D47</f>
        <v>T24 2022 - Appendix 5.4B, [Assembly]</v>
      </c>
      <c r="E50" s="505" t="s">
        <v>517</v>
      </c>
      <c r="F50" s="821">
        <f>IF((F38=1),Thermostat!$B$3,Thermostat!$B$4)</f>
        <v>60</v>
      </c>
      <c r="G50" s="821">
        <f>IF((G38=1),Thermostat!$B$3,Thermostat!$B$4)</f>
        <v>60</v>
      </c>
      <c r="H50" s="821">
        <f>IF((H38=1),Thermostat!$B$3,Thermostat!$B$4)</f>
        <v>60</v>
      </c>
      <c r="I50" s="821">
        <f>IF((I38=1),Thermostat!$B$3,Thermostat!$B$4)</f>
        <v>60</v>
      </c>
      <c r="J50" s="821">
        <f>IF((J38=1),Thermostat!$B$3,Thermostat!$B$4)</f>
        <v>60</v>
      </c>
      <c r="K50" s="821">
        <f>IF((K38=1),Thermostat!$B$3,Thermostat!$B$4)</f>
        <v>60</v>
      </c>
      <c r="L50" s="821">
        <f>IF((L38=1),Thermostat!$B$3,Thermostat!$B$4)</f>
        <v>60</v>
      </c>
      <c r="M50" s="821">
        <f>IF((M38=1),Thermostat!$B$3,Thermostat!$B$4)</f>
        <v>70</v>
      </c>
      <c r="N50" s="821">
        <f>IF((N38=1),Thermostat!$B$3,Thermostat!$B$4)</f>
        <v>70</v>
      </c>
      <c r="O50" s="821">
        <f>IF((O38=1),Thermostat!$B$3,Thermostat!$B$4)</f>
        <v>70</v>
      </c>
      <c r="P50" s="821">
        <f>IF((P38=1),Thermostat!$B$3,Thermostat!$B$4)</f>
        <v>70</v>
      </c>
      <c r="Q50" s="821">
        <f>IF((Q38=1),Thermostat!$B$3,Thermostat!$B$4)</f>
        <v>70</v>
      </c>
      <c r="R50" s="821">
        <f>IF((R38=1),Thermostat!$B$3,Thermostat!$B$4)</f>
        <v>70</v>
      </c>
      <c r="S50" s="821">
        <f>IF((S38=1),Thermostat!$B$3,Thermostat!$B$4)</f>
        <v>70</v>
      </c>
      <c r="T50" s="821">
        <f>IF((T38=1),Thermostat!$B$3,Thermostat!$B$4)</f>
        <v>70</v>
      </c>
      <c r="U50" s="821">
        <f>IF((U38=1),Thermostat!$B$3,Thermostat!$B$4)</f>
        <v>70</v>
      </c>
      <c r="V50" s="821">
        <f>IF((V38=1),Thermostat!$B$3,Thermostat!$B$4)</f>
        <v>70</v>
      </c>
      <c r="W50" s="821">
        <f>IF((W38=1),Thermostat!$B$3,Thermostat!$B$4)</f>
        <v>70</v>
      </c>
      <c r="X50" s="821">
        <f>IF((X38=1),Thermostat!$B$3,Thermostat!$B$4)</f>
        <v>70</v>
      </c>
      <c r="Y50" s="821">
        <f>IF((Y38=1),Thermostat!$B$3,Thermostat!$B$4)</f>
        <v>70</v>
      </c>
      <c r="Z50" s="821">
        <f>IF((Z38=1),Thermostat!$B$3,Thermostat!$B$4)</f>
        <v>70</v>
      </c>
      <c r="AA50" s="821">
        <f>IF((AA38=1),Thermostat!$B$3,Thermostat!$B$4)</f>
        <v>70</v>
      </c>
      <c r="AB50" s="821">
        <f>IF((AB38=1),Thermostat!$B$3,Thermostat!$B$4)</f>
        <v>70</v>
      </c>
      <c r="AC50" s="495">
        <f>IF((AC38=1),Thermostat!$B$3,Thermostat!$B$4)</f>
        <v>60</v>
      </c>
      <c r="AD50" s="42"/>
      <c r="AE50" s="41"/>
      <c r="AF50" s="41"/>
      <c r="AG50" s="41"/>
      <c r="AH50" s="41"/>
      <c r="AI50" s="41"/>
      <c r="AJ50" s="41"/>
      <c r="AK50" s="41"/>
      <c r="AM50" s="52"/>
    </row>
    <row r="51" spans="1:39" ht="36" customHeight="1">
      <c r="A51" s="1025"/>
      <c r="B51" s="1096"/>
      <c r="C51" s="1090"/>
      <c r="D51" s="1126"/>
      <c r="E51" s="503" t="s">
        <v>524</v>
      </c>
      <c r="F51" s="819">
        <f>IF((F39=1),Thermostat!$B$3,Thermostat!$B$4)</f>
        <v>60</v>
      </c>
      <c r="G51" s="819">
        <f>IF((G39=1),Thermostat!$B$3,Thermostat!$B$4)</f>
        <v>60</v>
      </c>
      <c r="H51" s="819">
        <f>IF((H39=1),Thermostat!$B$3,Thermostat!$B$4)</f>
        <v>60</v>
      </c>
      <c r="I51" s="819">
        <f>IF((I39=1),Thermostat!$B$3,Thermostat!$B$4)</f>
        <v>60</v>
      </c>
      <c r="J51" s="819">
        <f>IF((J39=1),Thermostat!$B$3,Thermostat!$B$4)</f>
        <v>60</v>
      </c>
      <c r="K51" s="819">
        <f>IF((K39=1),Thermostat!$B$3,Thermostat!$B$4)</f>
        <v>60</v>
      </c>
      <c r="L51" s="819">
        <f>IF((L39=1),Thermostat!$B$3,Thermostat!$B$4)</f>
        <v>60</v>
      </c>
      <c r="M51" s="819">
        <f>IF((M39=1),Thermostat!$B$3,Thermostat!$B$4)</f>
        <v>70</v>
      </c>
      <c r="N51" s="819">
        <f>IF((N39=1),Thermostat!$B$3,Thermostat!$B$4)</f>
        <v>70</v>
      </c>
      <c r="O51" s="819">
        <f>IF((O39=1),Thermostat!$B$3,Thermostat!$B$4)</f>
        <v>70</v>
      </c>
      <c r="P51" s="819">
        <f>IF((P39=1),Thermostat!$B$3,Thermostat!$B$4)</f>
        <v>70</v>
      </c>
      <c r="Q51" s="819">
        <f>IF((Q39=1),Thermostat!$B$3,Thermostat!$B$4)</f>
        <v>70</v>
      </c>
      <c r="R51" s="819">
        <f>IF((R39=1),Thermostat!$B$3,Thermostat!$B$4)</f>
        <v>70</v>
      </c>
      <c r="S51" s="819">
        <f>IF((S39=1),Thermostat!$B$3,Thermostat!$B$4)</f>
        <v>70</v>
      </c>
      <c r="T51" s="819">
        <f>IF((T39=1),Thermostat!$B$3,Thermostat!$B$4)</f>
        <v>70</v>
      </c>
      <c r="U51" s="819">
        <f>IF((U39=1),Thermostat!$B$3,Thermostat!$B$4)</f>
        <v>70</v>
      </c>
      <c r="V51" s="819">
        <f>IF((V39=1),Thermostat!$B$3,Thermostat!$B$4)</f>
        <v>70</v>
      </c>
      <c r="W51" s="819">
        <f>IF((W39=1),Thermostat!$B$3,Thermostat!$B$4)</f>
        <v>70</v>
      </c>
      <c r="X51" s="819">
        <f>IF((X39=1),Thermostat!$B$3,Thermostat!$B$4)</f>
        <v>70</v>
      </c>
      <c r="Y51" s="819">
        <f>IF((Y39=1),Thermostat!$B$3,Thermostat!$B$4)</f>
        <v>70</v>
      </c>
      <c r="Z51" s="819">
        <f>IF((Z39=1),Thermostat!$B$3,Thermostat!$B$4)</f>
        <v>70</v>
      </c>
      <c r="AA51" s="819">
        <f>IF((AA39=1),Thermostat!$B$3,Thermostat!$B$4)</f>
        <v>70</v>
      </c>
      <c r="AB51" s="819">
        <f>IF((AB39=1),Thermostat!$B$3,Thermostat!$B$4)</f>
        <v>70</v>
      </c>
      <c r="AC51" s="507">
        <f>IF((AC39=1),Thermostat!$B$3,Thermostat!$B$4)</f>
        <v>60</v>
      </c>
      <c r="AD51" s="42"/>
      <c r="AE51" s="41"/>
      <c r="AF51" s="41"/>
      <c r="AG51" s="41"/>
      <c r="AH51" s="41"/>
      <c r="AI51" s="41"/>
      <c r="AJ51" s="41"/>
      <c r="AK51" s="41"/>
      <c r="AM51" s="52"/>
    </row>
    <row r="52" spans="1:39" ht="36" customHeight="1" thickBot="1">
      <c r="A52" s="1035"/>
      <c r="B52" s="1131"/>
      <c r="C52" s="1130"/>
      <c r="D52" s="1138"/>
      <c r="E52" s="517" t="s">
        <v>526</v>
      </c>
      <c r="F52" s="826">
        <f>IF((F40=1),Thermostat!$B$3,Thermostat!$B$4)</f>
        <v>60</v>
      </c>
      <c r="G52" s="826">
        <f>IF((G40=1),Thermostat!$B$3,Thermostat!$B$4)</f>
        <v>60</v>
      </c>
      <c r="H52" s="826">
        <f>IF((H40=1),Thermostat!$B$3,Thermostat!$B$4)</f>
        <v>60</v>
      </c>
      <c r="I52" s="826">
        <f>IF((I40=1),Thermostat!$B$3,Thermostat!$B$4)</f>
        <v>60</v>
      </c>
      <c r="J52" s="826">
        <f>IF((J40=1),Thermostat!$B$3,Thermostat!$B$4)</f>
        <v>60</v>
      </c>
      <c r="K52" s="826">
        <f>IF((K40=1),Thermostat!$B$3,Thermostat!$B$4)</f>
        <v>60</v>
      </c>
      <c r="L52" s="826">
        <f>IF((L40=1),Thermostat!$B$3,Thermostat!$B$4)</f>
        <v>60</v>
      </c>
      <c r="M52" s="826">
        <f>IF((M40=1),Thermostat!$B$3,Thermostat!$B$4)</f>
        <v>70</v>
      </c>
      <c r="N52" s="826">
        <f>IF((N40=1),Thermostat!$B$3,Thermostat!$B$4)</f>
        <v>70</v>
      </c>
      <c r="O52" s="826">
        <f>IF((O40=1),Thermostat!$B$3,Thermostat!$B$4)</f>
        <v>70</v>
      </c>
      <c r="P52" s="826">
        <f>IF((P40=1),Thermostat!$B$3,Thermostat!$B$4)</f>
        <v>70</v>
      </c>
      <c r="Q52" s="826">
        <f>IF((Q40=1),Thermostat!$B$3,Thermostat!$B$4)</f>
        <v>70</v>
      </c>
      <c r="R52" s="826">
        <f>IF((R40=1),Thermostat!$B$3,Thermostat!$B$4)</f>
        <v>70</v>
      </c>
      <c r="S52" s="826">
        <f>IF((S40=1),Thermostat!$B$3,Thermostat!$B$4)</f>
        <v>70</v>
      </c>
      <c r="T52" s="826">
        <f>IF((T40=1),Thermostat!$B$3,Thermostat!$B$4)</f>
        <v>70</v>
      </c>
      <c r="U52" s="826">
        <f>IF((U40=1),Thermostat!$B$3,Thermostat!$B$4)</f>
        <v>70</v>
      </c>
      <c r="V52" s="826">
        <f>IF((V40=1),Thermostat!$B$3,Thermostat!$B$4)</f>
        <v>70</v>
      </c>
      <c r="W52" s="826">
        <f>IF((W40=1),Thermostat!$B$3,Thermostat!$B$4)</f>
        <v>70</v>
      </c>
      <c r="X52" s="826">
        <f>IF((X40=1),Thermostat!$B$3,Thermostat!$B$4)</f>
        <v>70</v>
      </c>
      <c r="Y52" s="826">
        <f>IF((Y40=1),Thermostat!$B$3,Thermostat!$B$4)</f>
        <v>70</v>
      </c>
      <c r="Z52" s="826">
        <f>IF((Z40=1),Thermostat!$B$3,Thermostat!$B$4)</f>
        <v>70</v>
      </c>
      <c r="AA52" s="826">
        <f>IF((AA40=1),Thermostat!$B$3,Thermostat!$B$4)</f>
        <v>70</v>
      </c>
      <c r="AB52" s="826">
        <f>IF((AB40=1),Thermostat!$B$3,Thermostat!$B$4)</f>
        <v>70</v>
      </c>
      <c r="AC52" s="522">
        <f>IF((AC40=1),Thermostat!$B$3,Thermostat!$B$4)</f>
        <v>60</v>
      </c>
      <c r="AD52" s="42"/>
      <c r="AE52" s="41"/>
      <c r="AF52" s="41"/>
      <c r="AG52" s="41"/>
      <c r="AH52" s="41"/>
      <c r="AI52" s="41"/>
      <c r="AJ52" s="41"/>
      <c r="AK52" s="41"/>
      <c r="AM52" s="52"/>
    </row>
    <row r="53" spans="1:39" ht="36" customHeight="1">
      <c r="A53" s="1024" t="str">
        <f>A29</f>
        <v>Storage, Mech, Laundry, Banquet</v>
      </c>
      <c r="B53" s="1124" t="str">
        <f>B50</f>
        <v>Assembly</v>
      </c>
      <c r="C53" s="1101" t="s">
        <v>716</v>
      </c>
      <c r="D53" s="1176" t="str">
        <f t="shared" ref="D53" si="10">D50</f>
        <v>T24 2022 - Appendix 5.4B, [Assembly]</v>
      </c>
      <c r="E53" s="502" t="s">
        <v>517</v>
      </c>
      <c r="F53" s="818">
        <f>IF((F38=1),Thermostat!$B$5,Thermostat!$B$6)</f>
        <v>85</v>
      </c>
      <c r="G53" s="818">
        <f>IF((G38=1),Thermostat!$B$5,Thermostat!$B$6)</f>
        <v>85</v>
      </c>
      <c r="H53" s="818">
        <f>IF((H38=1),Thermostat!$B$5,Thermostat!$B$6)</f>
        <v>85</v>
      </c>
      <c r="I53" s="818">
        <f>IF((I38=1),Thermostat!$B$5,Thermostat!$B$6)</f>
        <v>85</v>
      </c>
      <c r="J53" s="818">
        <f>IF((J38=1),Thermostat!$B$5,Thermostat!$B$6)</f>
        <v>85</v>
      </c>
      <c r="K53" s="818">
        <f>IF((K38=1),Thermostat!$B$5,Thermostat!$B$6)</f>
        <v>85</v>
      </c>
      <c r="L53" s="818">
        <f>IF((L38=1),Thermostat!$B$5,Thermostat!$B$6)</f>
        <v>85</v>
      </c>
      <c r="M53" s="818">
        <f>IF((M38=1),Thermostat!$B$5,Thermostat!$B$6)</f>
        <v>75</v>
      </c>
      <c r="N53" s="818">
        <f>IF((N38=1),Thermostat!$B$5,Thermostat!$B$6)</f>
        <v>75</v>
      </c>
      <c r="O53" s="818">
        <f>IF((O38=1),Thermostat!$B$5,Thermostat!$B$6)</f>
        <v>75</v>
      </c>
      <c r="P53" s="818">
        <f>IF((P38=1),Thermostat!$B$5,Thermostat!$B$6)</f>
        <v>75</v>
      </c>
      <c r="Q53" s="818">
        <f>IF((Q38=1),Thermostat!$B$5,Thermostat!$B$6)</f>
        <v>75</v>
      </c>
      <c r="R53" s="818">
        <f>IF((R38=1),Thermostat!$B$5,Thermostat!$B$6)</f>
        <v>75</v>
      </c>
      <c r="S53" s="818">
        <f>IF((S38=1),Thermostat!$B$5,Thermostat!$B$6)</f>
        <v>75</v>
      </c>
      <c r="T53" s="818">
        <f>IF((T38=1),Thermostat!$B$5,Thermostat!$B$6)</f>
        <v>75</v>
      </c>
      <c r="U53" s="818">
        <f>IF((U38=1),Thermostat!$B$5,Thermostat!$B$6)</f>
        <v>75</v>
      </c>
      <c r="V53" s="818">
        <f>IF((V38=1),Thermostat!$B$5,Thermostat!$B$6)</f>
        <v>75</v>
      </c>
      <c r="W53" s="818">
        <f>IF((W38=1),Thermostat!$B$5,Thermostat!$B$6)</f>
        <v>75</v>
      </c>
      <c r="X53" s="818">
        <f>IF((X38=1),Thermostat!$B$5,Thermostat!$B$6)</f>
        <v>75</v>
      </c>
      <c r="Y53" s="818">
        <f>IF((Y38=1),Thermostat!$B$5,Thermostat!$B$6)</f>
        <v>75</v>
      </c>
      <c r="Z53" s="818">
        <f>IF((Z38=1),Thermostat!$B$5,Thermostat!$B$6)</f>
        <v>75</v>
      </c>
      <c r="AA53" s="818">
        <f>IF((AA38=1),Thermostat!$B$5,Thermostat!$B$6)</f>
        <v>75</v>
      </c>
      <c r="AB53" s="818">
        <f>IF((AB38=1),Thermostat!$B$5,Thermostat!$B$6)</f>
        <v>75</v>
      </c>
      <c r="AC53" s="506">
        <f>IF((AC38=1),Thermostat!$B$5,Thermostat!$B$6)</f>
        <v>85</v>
      </c>
      <c r="AD53" s="42"/>
      <c r="AE53" s="41"/>
      <c r="AF53" s="41"/>
      <c r="AG53" s="41"/>
      <c r="AH53" s="41"/>
      <c r="AI53" s="41"/>
      <c r="AJ53" s="41"/>
      <c r="AK53" s="41"/>
      <c r="AM53" s="52"/>
    </row>
    <row r="54" spans="1:39" ht="36" customHeight="1">
      <c r="A54" s="1025"/>
      <c r="B54" s="1096"/>
      <c r="C54" s="1090"/>
      <c r="D54" s="1126"/>
      <c r="E54" s="503" t="s">
        <v>524</v>
      </c>
      <c r="F54" s="819">
        <f>IF((F39=1),Thermostat!$B$5,Thermostat!$B$6)</f>
        <v>85</v>
      </c>
      <c r="G54" s="819">
        <f>IF((G39=1),Thermostat!$B$5,Thermostat!$B$6)</f>
        <v>85</v>
      </c>
      <c r="H54" s="819">
        <f>IF((H39=1),Thermostat!$B$5,Thermostat!$B$6)</f>
        <v>85</v>
      </c>
      <c r="I54" s="819">
        <f>IF((I39=1),Thermostat!$B$5,Thermostat!$B$6)</f>
        <v>85</v>
      </c>
      <c r="J54" s="819">
        <f>IF((J39=1),Thermostat!$B$5,Thermostat!$B$6)</f>
        <v>85</v>
      </c>
      <c r="K54" s="819">
        <f>IF((K39=1),Thermostat!$B$5,Thermostat!$B$6)</f>
        <v>85</v>
      </c>
      <c r="L54" s="819">
        <f>IF((L39=1),Thermostat!$B$5,Thermostat!$B$6)</f>
        <v>85</v>
      </c>
      <c r="M54" s="819">
        <f>IF((M39=1),Thermostat!$B$5,Thermostat!$B$6)</f>
        <v>75</v>
      </c>
      <c r="N54" s="819">
        <f>IF((N39=1),Thermostat!$B$5,Thermostat!$B$6)</f>
        <v>75</v>
      </c>
      <c r="O54" s="819">
        <f>IF((O39=1),Thermostat!$B$5,Thermostat!$B$6)</f>
        <v>75</v>
      </c>
      <c r="P54" s="819">
        <f>IF((P39=1),Thermostat!$B$5,Thermostat!$B$6)</f>
        <v>75</v>
      </c>
      <c r="Q54" s="819">
        <f>IF((Q39=1),Thermostat!$B$5,Thermostat!$B$6)</f>
        <v>75</v>
      </c>
      <c r="R54" s="819">
        <f>IF((R39=1),Thermostat!$B$5,Thermostat!$B$6)</f>
        <v>75</v>
      </c>
      <c r="S54" s="819">
        <f>IF((S39=1),Thermostat!$B$5,Thermostat!$B$6)</f>
        <v>75</v>
      </c>
      <c r="T54" s="819">
        <f>IF((T39=1),Thermostat!$B$5,Thermostat!$B$6)</f>
        <v>75</v>
      </c>
      <c r="U54" s="819">
        <f>IF((U39=1),Thermostat!$B$5,Thermostat!$B$6)</f>
        <v>75</v>
      </c>
      <c r="V54" s="819">
        <f>IF((V39=1),Thermostat!$B$5,Thermostat!$B$6)</f>
        <v>75</v>
      </c>
      <c r="W54" s="819">
        <f>IF((W39=1),Thermostat!$B$5,Thermostat!$B$6)</f>
        <v>75</v>
      </c>
      <c r="X54" s="819">
        <f>IF((X39=1),Thermostat!$B$5,Thermostat!$B$6)</f>
        <v>75</v>
      </c>
      <c r="Y54" s="819">
        <f>IF((Y39=1),Thermostat!$B$5,Thermostat!$B$6)</f>
        <v>75</v>
      </c>
      <c r="Z54" s="819">
        <f>IF((Z39=1),Thermostat!$B$5,Thermostat!$B$6)</f>
        <v>75</v>
      </c>
      <c r="AA54" s="819">
        <f>IF((AA39=1),Thermostat!$B$5,Thermostat!$B$6)</f>
        <v>75</v>
      </c>
      <c r="AB54" s="819">
        <f>IF((AB39=1),Thermostat!$B$5,Thermostat!$B$6)</f>
        <v>75</v>
      </c>
      <c r="AC54" s="507">
        <f>IF((AC39=1),Thermostat!$B$5,Thermostat!$B$6)</f>
        <v>85</v>
      </c>
      <c r="AD54" s="42"/>
      <c r="AE54" s="41"/>
      <c r="AF54" s="41"/>
      <c r="AG54" s="41"/>
      <c r="AH54" s="41"/>
      <c r="AI54" s="41"/>
      <c r="AJ54" s="41"/>
      <c r="AK54" s="41"/>
      <c r="AM54" s="52"/>
    </row>
    <row r="55" spans="1:39" ht="36" customHeight="1" thickBot="1">
      <c r="A55" s="1035"/>
      <c r="B55" s="1131"/>
      <c r="C55" s="1100"/>
      <c r="D55" s="1138"/>
      <c r="E55" s="504" t="s">
        <v>526</v>
      </c>
      <c r="F55" s="820">
        <f>IF((F40=1),Thermostat!$B$5,Thermostat!$B$6)</f>
        <v>85</v>
      </c>
      <c r="G55" s="820">
        <f>IF((G40=1),Thermostat!$B$5,Thermostat!$B$6)</f>
        <v>85</v>
      </c>
      <c r="H55" s="820">
        <f>IF((H40=1),Thermostat!$B$5,Thermostat!$B$6)</f>
        <v>85</v>
      </c>
      <c r="I55" s="820">
        <f>IF((I40=1),Thermostat!$B$5,Thermostat!$B$6)</f>
        <v>85</v>
      </c>
      <c r="J55" s="820">
        <f>IF((J40=1),Thermostat!$B$5,Thermostat!$B$6)</f>
        <v>85</v>
      </c>
      <c r="K55" s="820">
        <f>IF((K40=1),Thermostat!$B$5,Thermostat!$B$6)</f>
        <v>85</v>
      </c>
      <c r="L55" s="820">
        <f>IF((L40=1),Thermostat!$B$5,Thermostat!$B$6)</f>
        <v>85</v>
      </c>
      <c r="M55" s="820">
        <f>IF((M40=1),Thermostat!$B$5,Thermostat!$B$6)</f>
        <v>75</v>
      </c>
      <c r="N55" s="820">
        <f>IF((N40=1),Thermostat!$B$5,Thermostat!$B$6)</f>
        <v>75</v>
      </c>
      <c r="O55" s="820">
        <f>IF((O40=1),Thermostat!$B$5,Thermostat!$B$6)</f>
        <v>75</v>
      </c>
      <c r="P55" s="820">
        <f>IF((P40=1),Thermostat!$B$5,Thermostat!$B$6)</f>
        <v>75</v>
      </c>
      <c r="Q55" s="820">
        <f>IF((Q40=1),Thermostat!$B$5,Thermostat!$B$6)</f>
        <v>75</v>
      </c>
      <c r="R55" s="820">
        <f>IF((R40=1),Thermostat!$B$5,Thermostat!$B$6)</f>
        <v>75</v>
      </c>
      <c r="S55" s="820">
        <f>IF((S40=1),Thermostat!$B$5,Thermostat!$B$6)</f>
        <v>75</v>
      </c>
      <c r="T55" s="820">
        <f>IF((T40=1),Thermostat!$B$5,Thermostat!$B$6)</f>
        <v>75</v>
      </c>
      <c r="U55" s="820">
        <f>IF((U40=1),Thermostat!$B$5,Thermostat!$B$6)</f>
        <v>75</v>
      </c>
      <c r="V55" s="820">
        <f>IF((V40=1),Thermostat!$B$5,Thermostat!$B$6)</f>
        <v>75</v>
      </c>
      <c r="W55" s="820">
        <f>IF((W40=1),Thermostat!$B$5,Thermostat!$B$6)</f>
        <v>75</v>
      </c>
      <c r="X55" s="820">
        <f>IF((X40=1),Thermostat!$B$5,Thermostat!$B$6)</f>
        <v>75</v>
      </c>
      <c r="Y55" s="820">
        <f>IF((Y40=1),Thermostat!$B$5,Thermostat!$B$6)</f>
        <v>75</v>
      </c>
      <c r="Z55" s="820">
        <f>IF((Z40=1),Thermostat!$B$5,Thermostat!$B$6)</f>
        <v>75</v>
      </c>
      <c r="AA55" s="820">
        <f>IF((AA40=1),Thermostat!$B$5,Thermostat!$B$6)</f>
        <v>75</v>
      </c>
      <c r="AB55" s="820">
        <f>IF((AB40=1),Thermostat!$B$5,Thermostat!$B$6)</f>
        <v>75</v>
      </c>
      <c r="AC55" s="508">
        <f>IF((AC40=1),Thermostat!$B$5,Thermostat!$B$6)</f>
        <v>85</v>
      </c>
      <c r="AD55" s="42"/>
      <c r="AE55" s="41"/>
      <c r="AF55" s="41"/>
      <c r="AG55" s="41"/>
      <c r="AH55" s="41"/>
      <c r="AI55" s="41"/>
      <c r="AJ55" s="41"/>
      <c r="AK55" s="41"/>
      <c r="AM55" s="52"/>
    </row>
    <row r="56" spans="1:39" ht="29.45" customHeight="1" thickBot="1">
      <c r="A56" s="1148" t="s">
        <v>721</v>
      </c>
      <c r="B56" s="1149"/>
      <c r="C56" s="1149"/>
      <c r="D56" s="1149"/>
      <c r="E56" s="1149"/>
      <c r="F56" s="1149"/>
      <c r="G56" s="1149"/>
      <c r="H56" s="1149"/>
      <c r="I56" s="1149"/>
      <c r="J56" s="1149"/>
      <c r="K56" s="1149"/>
      <c r="L56" s="1149"/>
      <c r="M56" s="1149"/>
      <c r="N56" s="1149"/>
      <c r="O56" s="1149"/>
      <c r="P56" s="1149"/>
      <c r="Q56" s="1149"/>
      <c r="R56" s="1149"/>
      <c r="S56" s="1149"/>
      <c r="T56" s="1149"/>
      <c r="U56" s="1149"/>
      <c r="V56" s="1149"/>
      <c r="W56" s="1149"/>
      <c r="X56" s="1149"/>
      <c r="Y56" s="1149"/>
      <c r="Z56" s="1149"/>
      <c r="AA56" s="1149"/>
      <c r="AB56" s="1149"/>
      <c r="AC56" s="1150"/>
      <c r="AD56" s="42"/>
      <c r="AE56" s="41"/>
      <c r="AF56" s="41"/>
      <c r="AG56" s="41"/>
      <c r="AH56" s="41"/>
      <c r="AI56" s="41"/>
      <c r="AJ56" s="41"/>
      <c r="AK56" s="41"/>
    </row>
    <row r="57" spans="1:39" ht="31.9" customHeight="1">
      <c r="A57" s="1063" t="s">
        <v>722</v>
      </c>
      <c r="B57" s="1134" t="str">
        <f>Zones!D20</f>
        <v>ResidentialCommon</v>
      </c>
      <c r="C57" s="1034" t="s">
        <v>706</v>
      </c>
      <c r="D57" s="1125" t="s">
        <v>723</v>
      </c>
      <c r="E57" s="502" t="s">
        <v>517</v>
      </c>
      <c r="F57" s="497">
        <v>0.1</v>
      </c>
      <c r="G57" s="497">
        <v>0.1</v>
      </c>
      <c r="H57" s="497">
        <v>0.1</v>
      </c>
      <c r="I57" s="497">
        <v>0.1</v>
      </c>
      <c r="J57" s="497">
        <v>0.1</v>
      </c>
      <c r="K57" s="497">
        <v>0.3</v>
      </c>
      <c r="L57" s="497">
        <v>0.45</v>
      </c>
      <c r="M57" s="497">
        <v>0.45</v>
      </c>
      <c r="N57" s="497">
        <v>0.45</v>
      </c>
      <c r="O57" s="497">
        <v>0.45</v>
      </c>
      <c r="P57" s="497">
        <v>0.3</v>
      </c>
      <c r="Q57" s="497">
        <v>0.3</v>
      </c>
      <c r="R57" s="497">
        <v>0.3</v>
      </c>
      <c r="S57" s="497">
        <v>0.3</v>
      </c>
      <c r="T57" s="497">
        <v>0.3</v>
      </c>
      <c r="U57" s="497">
        <v>0.3</v>
      </c>
      <c r="V57" s="497">
        <v>0.3</v>
      </c>
      <c r="W57" s="497">
        <v>0.3</v>
      </c>
      <c r="X57" s="497">
        <v>0.6</v>
      </c>
      <c r="Y57" s="497">
        <v>0.8</v>
      </c>
      <c r="Z57" s="497">
        <v>0.9</v>
      </c>
      <c r="AA57" s="497">
        <v>0.8</v>
      </c>
      <c r="AB57" s="497">
        <v>0.6</v>
      </c>
      <c r="AC57" s="498">
        <v>0.3</v>
      </c>
      <c r="AD57" s="41"/>
      <c r="AE57" s="41"/>
      <c r="AF57" s="41"/>
      <c r="AG57" s="41"/>
      <c r="AH57" s="41"/>
      <c r="AI57" s="41"/>
      <c r="AJ57" s="41"/>
      <c r="AK57" s="41"/>
    </row>
    <row r="58" spans="1:39" ht="33" customHeight="1">
      <c r="A58" s="1058"/>
      <c r="B58" s="1003"/>
      <c r="C58" s="1003"/>
      <c r="D58" s="1126"/>
      <c r="E58" s="503" t="s">
        <v>524</v>
      </c>
      <c r="F58" s="496">
        <v>0.1</v>
      </c>
      <c r="G58" s="496">
        <v>0.1</v>
      </c>
      <c r="H58" s="496">
        <v>0.1</v>
      </c>
      <c r="I58" s="496">
        <v>0.1</v>
      </c>
      <c r="J58" s="496">
        <v>0.1</v>
      </c>
      <c r="K58" s="496">
        <v>0.3</v>
      </c>
      <c r="L58" s="496">
        <v>0.45</v>
      </c>
      <c r="M58" s="496">
        <v>0.45</v>
      </c>
      <c r="N58" s="496">
        <v>0.45</v>
      </c>
      <c r="O58" s="496">
        <v>0.45</v>
      </c>
      <c r="P58" s="496">
        <v>0.3</v>
      </c>
      <c r="Q58" s="496">
        <v>0.3</v>
      </c>
      <c r="R58" s="496">
        <v>0.3</v>
      </c>
      <c r="S58" s="496">
        <v>0.3</v>
      </c>
      <c r="T58" s="496">
        <v>0.3</v>
      </c>
      <c r="U58" s="496">
        <v>0.3</v>
      </c>
      <c r="V58" s="496">
        <v>0.3</v>
      </c>
      <c r="W58" s="496">
        <v>0.3</v>
      </c>
      <c r="X58" s="496">
        <v>0.6</v>
      </c>
      <c r="Y58" s="496">
        <v>0.8</v>
      </c>
      <c r="Z58" s="496">
        <v>0.9</v>
      </c>
      <c r="AA58" s="496">
        <v>0.8</v>
      </c>
      <c r="AB58" s="496">
        <v>0.6</v>
      </c>
      <c r="AC58" s="499">
        <v>0.3</v>
      </c>
      <c r="AD58" s="41"/>
      <c r="AE58" s="41"/>
      <c r="AF58" s="41"/>
      <c r="AG58" s="41"/>
      <c r="AH58" s="41"/>
      <c r="AI58" s="41"/>
      <c r="AJ58" s="41"/>
      <c r="AK58" s="41"/>
    </row>
    <row r="59" spans="1:39" ht="33" customHeight="1" thickBot="1">
      <c r="A59" s="1059"/>
      <c r="B59" s="1036"/>
      <c r="C59" s="1036"/>
      <c r="D59" s="1138"/>
      <c r="E59" s="504" t="s">
        <v>526</v>
      </c>
      <c r="F59" s="500">
        <v>0.1</v>
      </c>
      <c r="G59" s="500">
        <v>0.1</v>
      </c>
      <c r="H59" s="500">
        <v>0.1</v>
      </c>
      <c r="I59" s="500">
        <v>0.1</v>
      </c>
      <c r="J59" s="500">
        <v>0.1</v>
      </c>
      <c r="K59" s="500">
        <v>0.3</v>
      </c>
      <c r="L59" s="500">
        <v>0.45</v>
      </c>
      <c r="M59" s="500">
        <v>0.45</v>
      </c>
      <c r="N59" s="500">
        <v>0.45</v>
      </c>
      <c r="O59" s="500">
        <v>0.45</v>
      </c>
      <c r="P59" s="500">
        <v>0.3</v>
      </c>
      <c r="Q59" s="500">
        <v>0.3</v>
      </c>
      <c r="R59" s="500">
        <v>0.3</v>
      </c>
      <c r="S59" s="500">
        <v>0.3</v>
      </c>
      <c r="T59" s="500">
        <v>0.3</v>
      </c>
      <c r="U59" s="500">
        <v>0.3</v>
      </c>
      <c r="V59" s="500">
        <v>0.3</v>
      </c>
      <c r="W59" s="500">
        <v>0.3</v>
      </c>
      <c r="X59" s="500">
        <v>0.6</v>
      </c>
      <c r="Y59" s="500">
        <v>0.8</v>
      </c>
      <c r="Z59" s="500">
        <v>0.9</v>
      </c>
      <c r="AA59" s="500">
        <v>0.8</v>
      </c>
      <c r="AB59" s="500">
        <v>0.6</v>
      </c>
      <c r="AC59" s="501">
        <v>0.3</v>
      </c>
      <c r="AD59" s="41"/>
      <c r="AE59" s="41"/>
      <c r="AF59" s="41"/>
      <c r="AG59" s="41"/>
      <c r="AH59" s="41"/>
      <c r="AI59" s="41"/>
      <c r="AJ59" s="41"/>
      <c r="AK59" s="41"/>
    </row>
    <row r="60" spans="1:39" ht="38.65" customHeight="1">
      <c r="A60" s="1063" t="str">
        <f>A57</f>
        <v>Corridors and Lobby</v>
      </c>
      <c r="B60" s="1134" t="str">
        <f>B57</f>
        <v>ResidentialCommon</v>
      </c>
      <c r="C60" s="1034" t="s">
        <v>708</v>
      </c>
      <c r="D60" s="1125" t="s">
        <v>723</v>
      </c>
      <c r="E60" s="502" t="s">
        <v>517</v>
      </c>
      <c r="F60" s="497">
        <v>1</v>
      </c>
      <c r="G60" s="497">
        <v>1</v>
      </c>
      <c r="H60" s="497">
        <v>1</v>
      </c>
      <c r="I60" s="497">
        <v>1</v>
      </c>
      <c r="J60" s="497">
        <v>1</v>
      </c>
      <c r="K60" s="497">
        <v>1</v>
      </c>
      <c r="L60" s="497">
        <v>1</v>
      </c>
      <c r="M60" s="497">
        <v>1</v>
      </c>
      <c r="N60" s="497">
        <v>1</v>
      </c>
      <c r="O60" s="497">
        <v>1</v>
      </c>
      <c r="P60" s="497">
        <v>1</v>
      </c>
      <c r="Q60" s="497">
        <v>1</v>
      </c>
      <c r="R60" s="497">
        <v>1</v>
      </c>
      <c r="S60" s="497">
        <v>1</v>
      </c>
      <c r="T60" s="497">
        <v>1</v>
      </c>
      <c r="U60" s="497">
        <v>1</v>
      </c>
      <c r="V60" s="497">
        <v>1</v>
      </c>
      <c r="W60" s="497">
        <v>1</v>
      </c>
      <c r="X60" s="497">
        <v>1</v>
      </c>
      <c r="Y60" s="497">
        <v>1</v>
      </c>
      <c r="Z60" s="497">
        <v>1</v>
      </c>
      <c r="AA60" s="497">
        <v>1</v>
      </c>
      <c r="AB60" s="497">
        <v>1</v>
      </c>
      <c r="AC60" s="498">
        <v>1</v>
      </c>
      <c r="AD60" s="41"/>
      <c r="AE60" s="41"/>
      <c r="AF60" s="41"/>
      <c r="AG60" s="41"/>
      <c r="AH60" s="41"/>
      <c r="AI60" s="41"/>
      <c r="AJ60" s="41"/>
      <c r="AK60" s="41"/>
      <c r="AM60" s="52"/>
    </row>
    <row r="61" spans="1:39" ht="38.65" customHeight="1">
      <c r="A61" s="1058"/>
      <c r="B61" s="1003"/>
      <c r="C61" s="1003"/>
      <c r="D61" s="1126"/>
      <c r="E61" s="503" t="s">
        <v>524</v>
      </c>
      <c r="F61" s="496">
        <v>1</v>
      </c>
      <c r="G61" s="496">
        <v>1</v>
      </c>
      <c r="H61" s="496">
        <v>1</v>
      </c>
      <c r="I61" s="496">
        <v>1</v>
      </c>
      <c r="J61" s="496">
        <v>1</v>
      </c>
      <c r="K61" s="496">
        <v>1</v>
      </c>
      <c r="L61" s="496">
        <v>1</v>
      </c>
      <c r="M61" s="496">
        <v>1</v>
      </c>
      <c r="N61" s="496">
        <v>1</v>
      </c>
      <c r="O61" s="496">
        <v>1</v>
      </c>
      <c r="P61" s="496">
        <v>1</v>
      </c>
      <c r="Q61" s="496">
        <v>1</v>
      </c>
      <c r="R61" s="496">
        <v>1</v>
      </c>
      <c r="S61" s="496">
        <v>1</v>
      </c>
      <c r="T61" s="496">
        <v>1</v>
      </c>
      <c r="U61" s="496">
        <v>1</v>
      </c>
      <c r="V61" s="496">
        <v>1</v>
      </c>
      <c r="W61" s="496">
        <v>1</v>
      </c>
      <c r="X61" s="496">
        <v>1</v>
      </c>
      <c r="Y61" s="496">
        <v>1</v>
      </c>
      <c r="Z61" s="496">
        <v>1</v>
      </c>
      <c r="AA61" s="496">
        <v>1</v>
      </c>
      <c r="AB61" s="496">
        <v>1</v>
      </c>
      <c r="AC61" s="499">
        <v>1</v>
      </c>
      <c r="AD61" s="41"/>
      <c r="AE61" s="41"/>
      <c r="AF61" s="41"/>
      <c r="AG61" s="41"/>
      <c r="AH61" s="41"/>
      <c r="AI61" s="41"/>
      <c r="AJ61" s="41"/>
      <c r="AK61" s="41"/>
      <c r="AM61" s="52"/>
    </row>
    <row r="62" spans="1:39" ht="38.450000000000003" customHeight="1" thickBot="1">
      <c r="A62" s="1059"/>
      <c r="B62" s="1036"/>
      <c r="C62" s="1036"/>
      <c r="D62" s="1138"/>
      <c r="E62" s="504" t="s">
        <v>526</v>
      </c>
      <c r="F62" s="500">
        <v>1</v>
      </c>
      <c r="G62" s="500">
        <v>1</v>
      </c>
      <c r="H62" s="500">
        <v>1</v>
      </c>
      <c r="I62" s="500">
        <v>1</v>
      </c>
      <c r="J62" s="500">
        <v>1</v>
      </c>
      <c r="K62" s="500">
        <v>1</v>
      </c>
      <c r="L62" s="500">
        <v>1</v>
      </c>
      <c r="M62" s="500">
        <v>1</v>
      </c>
      <c r="N62" s="500">
        <v>1</v>
      </c>
      <c r="O62" s="500">
        <v>1</v>
      </c>
      <c r="P62" s="500">
        <v>1</v>
      </c>
      <c r="Q62" s="500">
        <v>1</v>
      </c>
      <c r="R62" s="500">
        <v>1</v>
      </c>
      <c r="S62" s="500">
        <v>1</v>
      </c>
      <c r="T62" s="500">
        <v>1</v>
      </c>
      <c r="U62" s="500">
        <v>1</v>
      </c>
      <c r="V62" s="500">
        <v>1</v>
      </c>
      <c r="W62" s="500">
        <v>1</v>
      </c>
      <c r="X62" s="500">
        <v>1</v>
      </c>
      <c r="Y62" s="500">
        <v>1</v>
      </c>
      <c r="Z62" s="500">
        <v>1</v>
      </c>
      <c r="AA62" s="500">
        <v>1</v>
      </c>
      <c r="AB62" s="500">
        <v>1</v>
      </c>
      <c r="AC62" s="501">
        <v>1</v>
      </c>
      <c r="AD62" s="41"/>
      <c r="AE62" s="41"/>
      <c r="AF62" s="41"/>
      <c r="AG62" s="41"/>
      <c r="AH62" s="41"/>
      <c r="AI62" s="41"/>
      <c r="AJ62" s="41"/>
      <c r="AK62" s="41"/>
      <c r="AM62" s="52"/>
    </row>
    <row r="63" spans="1:39" ht="30.6" customHeight="1">
      <c r="A63" s="1063" t="str">
        <f t="shared" ref="A63:B63" si="11">A60</f>
        <v>Corridors and Lobby</v>
      </c>
      <c r="B63" s="1134" t="str">
        <f t="shared" si="11"/>
        <v>ResidentialCommon</v>
      </c>
      <c r="C63" s="1034" t="s">
        <v>710</v>
      </c>
      <c r="D63" s="1176" t="s">
        <v>723</v>
      </c>
      <c r="E63" s="505" t="s">
        <v>517</v>
      </c>
      <c r="F63" s="518">
        <v>0.1</v>
      </c>
      <c r="G63" s="518">
        <v>0.1</v>
      </c>
      <c r="H63" s="518">
        <v>0.1</v>
      </c>
      <c r="I63" s="518">
        <v>0.1</v>
      </c>
      <c r="J63" s="518">
        <v>0.1</v>
      </c>
      <c r="K63" s="518">
        <v>0.3</v>
      </c>
      <c r="L63" s="518">
        <v>0.45</v>
      </c>
      <c r="M63" s="518">
        <v>0.45</v>
      </c>
      <c r="N63" s="518">
        <v>0.45</v>
      </c>
      <c r="O63" s="518">
        <v>0.45</v>
      </c>
      <c r="P63" s="518">
        <v>0.3</v>
      </c>
      <c r="Q63" s="518">
        <v>0.3</v>
      </c>
      <c r="R63" s="518">
        <v>0.3</v>
      </c>
      <c r="S63" s="518">
        <v>0.3</v>
      </c>
      <c r="T63" s="518">
        <v>0.3</v>
      </c>
      <c r="U63" s="518">
        <v>0.3</v>
      </c>
      <c r="V63" s="518">
        <v>0.3</v>
      </c>
      <c r="W63" s="518">
        <v>0.3</v>
      </c>
      <c r="X63" s="518">
        <v>0.6</v>
      </c>
      <c r="Y63" s="518">
        <v>0.8</v>
      </c>
      <c r="Z63" s="518">
        <v>0.9</v>
      </c>
      <c r="AA63" s="518">
        <v>0.8</v>
      </c>
      <c r="AB63" s="518">
        <v>0.6</v>
      </c>
      <c r="AC63" s="519">
        <v>0.3</v>
      </c>
      <c r="AD63" s="41"/>
      <c r="AE63" s="41"/>
      <c r="AF63" s="41"/>
      <c r="AG63" s="41"/>
      <c r="AH63" s="41"/>
      <c r="AI63" s="41"/>
      <c r="AJ63" s="41"/>
      <c r="AK63" s="41"/>
    </row>
    <row r="64" spans="1:39" ht="30.6" customHeight="1">
      <c r="A64" s="1058"/>
      <c r="B64" s="1003"/>
      <c r="C64" s="1003"/>
      <c r="D64" s="1126"/>
      <c r="E64" s="503" t="s">
        <v>524</v>
      </c>
      <c r="F64" s="496">
        <v>0.1</v>
      </c>
      <c r="G64" s="496">
        <v>0.1</v>
      </c>
      <c r="H64" s="496">
        <v>0.1</v>
      </c>
      <c r="I64" s="496">
        <v>0.1</v>
      </c>
      <c r="J64" s="496">
        <v>0.1</v>
      </c>
      <c r="K64" s="496">
        <v>0.3</v>
      </c>
      <c r="L64" s="496">
        <v>0.45</v>
      </c>
      <c r="M64" s="496">
        <v>0.45</v>
      </c>
      <c r="N64" s="496">
        <v>0.45</v>
      </c>
      <c r="O64" s="496">
        <v>0.45</v>
      </c>
      <c r="P64" s="496">
        <v>0.3</v>
      </c>
      <c r="Q64" s="496">
        <v>0.3</v>
      </c>
      <c r="R64" s="496">
        <v>0.3</v>
      </c>
      <c r="S64" s="496">
        <v>0.3</v>
      </c>
      <c r="T64" s="496">
        <v>0.3</v>
      </c>
      <c r="U64" s="496">
        <v>0.3</v>
      </c>
      <c r="V64" s="496">
        <v>0.3</v>
      </c>
      <c r="W64" s="496">
        <v>0.3</v>
      </c>
      <c r="X64" s="496">
        <v>0.6</v>
      </c>
      <c r="Y64" s="496">
        <v>0.8</v>
      </c>
      <c r="Z64" s="496">
        <v>0.9</v>
      </c>
      <c r="AA64" s="496">
        <v>0.8</v>
      </c>
      <c r="AB64" s="496">
        <v>0.6</v>
      </c>
      <c r="AC64" s="499">
        <v>0.3</v>
      </c>
      <c r="AD64" s="41"/>
      <c r="AE64" s="41"/>
      <c r="AF64" s="41"/>
      <c r="AG64" s="41"/>
      <c r="AH64" s="41"/>
      <c r="AI64" s="41"/>
      <c r="AJ64" s="41"/>
      <c r="AK64" s="41"/>
    </row>
    <row r="65" spans="1:67" ht="30.6" customHeight="1" thickBot="1">
      <c r="A65" s="1064"/>
      <c r="B65" s="1030"/>
      <c r="C65" s="1030"/>
      <c r="D65" s="1127"/>
      <c r="E65" s="517" t="s">
        <v>526</v>
      </c>
      <c r="F65" s="520">
        <v>0.1</v>
      </c>
      <c r="G65" s="520">
        <v>0.1</v>
      </c>
      <c r="H65" s="520">
        <v>0.1</v>
      </c>
      <c r="I65" s="520">
        <v>0.1</v>
      </c>
      <c r="J65" s="520">
        <v>0.1</v>
      </c>
      <c r="K65" s="520">
        <v>0.3</v>
      </c>
      <c r="L65" s="520">
        <v>0.45</v>
      </c>
      <c r="M65" s="520">
        <v>0.45</v>
      </c>
      <c r="N65" s="520">
        <v>0.45</v>
      </c>
      <c r="O65" s="520">
        <v>0.45</v>
      </c>
      <c r="P65" s="520">
        <v>0.3</v>
      </c>
      <c r="Q65" s="520">
        <v>0.3</v>
      </c>
      <c r="R65" s="520">
        <v>0.3</v>
      </c>
      <c r="S65" s="520">
        <v>0.3</v>
      </c>
      <c r="T65" s="520">
        <v>0.3</v>
      </c>
      <c r="U65" s="520">
        <v>0.3</v>
      </c>
      <c r="V65" s="520">
        <v>0.3</v>
      </c>
      <c r="W65" s="520">
        <v>0.3</v>
      </c>
      <c r="X65" s="520">
        <v>0.6</v>
      </c>
      <c r="Y65" s="520">
        <v>0.8</v>
      </c>
      <c r="Z65" s="520">
        <v>0.9</v>
      </c>
      <c r="AA65" s="520">
        <v>0.8</v>
      </c>
      <c r="AB65" s="520">
        <v>0.6</v>
      </c>
      <c r="AC65" s="521">
        <v>0.3</v>
      </c>
      <c r="AD65" s="41"/>
      <c r="AE65" s="41"/>
      <c r="AF65" s="41"/>
      <c r="AG65" s="41"/>
      <c r="AH65" s="41"/>
      <c r="AI65" s="41"/>
      <c r="AJ65" s="41"/>
      <c r="AK65" s="41"/>
    </row>
    <row r="66" spans="1:67" ht="30.6" customHeight="1">
      <c r="A66" s="999" t="str">
        <f t="shared" ref="A66:B66" si="12">A63</f>
        <v>Corridors and Lobby</v>
      </c>
      <c r="B66" s="1002" t="str">
        <f t="shared" si="12"/>
        <v>ResidentialCommon</v>
      </c>
      <c r="C66" s="1005" t="s">
        <v>713</v>
      </c>
      <c r="D66" s="1006" t="s">
        <v>723</v>
      </c>
      <c r="E66" s="571" t="s">
        <v>517</v>
      </c>
      <c r="F66" s="565">
        <v>0</v>
      </c>
      <c r="G66" s="565">
        <v>0</v>
      </c>
      <c r="H66" s="565">
        <v>0</v>
      </c>
      <c r="I66" s="565">
        <v>0.05</v>
      </c>
      <c r="J66" s="565">
        <v>0.05</v>
      </c>
      <c r="K66" s="565">
        <v>0.05</v>
      </c>
      <c r="L66" s="565">
        <v>0.8</v>
      </c>
      <c r="M66" s="565">
        <v>0.7</v>
      </c>
      <c r="N66" s="565">
        <v>0.5</v>
      </c>
      <c r="O66" s="565">
        <v>0.4</v>
      </c>
      <c r="P66" s="565">
        <v>0.25</v>
      </c>
      <c r="Q66" s="565">
        <v>0.25</v>
      </c>
      <c r="R66" s="565">
        <v>0.25</v>
      </c>
      <c r="S66" s="565">
        <v>0.25</v>
      </c>
      <c r="T66" s="565">
        <v>0.5</v>
      </c>
      <c r="U66" s="565">
        <v>0.6</v>
      </c>
      <c r="V66" s="565">
        <v>0.7</v>
      </c>
      <c r="W66" s="565">
        <v>0.7</v>
      </c>
      <c r="X66" s="565">
        <v>0.4</v>
      </c>
      <c r="Y66" s="565">
        <v>0.25</v>
      </c>
      <c r="Z66" s="565">
        <v>0.2</v>
      </c>
      <c r="AA66" s="565">
        <v>0.2</v>
      </c>
      <c r="AB66" s="565">
        <v>0.05</v>
      </c>
      <c r="AC66" s="566">
        <v>0.05</v>
      </c>
      <c r="AD66" s="41"/>
      <c r="AE66" s="41"/>
      <c r="AF66" s="41"/>
      <c r="AG66" s="41"/>
      <c r="AH66" s="41"/>
      <c r="AI66" s="41"/>
      <c r="AJ66" s="41"/>
      <c r="AK66" s="41"/>
    </row>
    <row r="67" spans="1:67" ht="30.6" customHeight="1">
      <c r="A67" s="1000"/>
      <c r="B67" s="1003"/>
      <c r="C67" s="1003"/>
      <c r="D67" s="1007"/>
      <c r="E67" s="572" t="s">
        <v>524</v>
      </c>
      <c r="F67" s="496">
        <v>0</v>
      </c>
      <c r="G67" s="496">
        <v>0</v>
      </c>
      <c r="H67" s="496">
        <v>0</v>
      </c>
      <c r="I67" s="496">
        <v>0.05</v>
      </c>
      <c r="J67" s="496">
        <v>0.05</v>
      </c>
      <c r="K67" s="496">
        <v>0.05</v>
      </c>
      <c r="L67" s="496">
        <v>0.8</v>
      </c>
      <c r="M67" s="496">
        <v>0.7</v>
      </c>
      <c r="N67" s="496">
        <v>0.5</v>
      </c>
      <c r="O67" s="496">
        <v>0.4</v>
      </c>
      <c r="P67" s="496">
        <v>0.25</v>
      </c>
      <c r="Q67" s="496">
        <v>0.25</v>
      </c>
      <c r="R67" s="496">
        <v>0.25</v>
      </c>
      <c r="S67" s="496">
        <v>0.25</v>
      </c>
      <c r="T67" s="496">
        <v>0.5</v>
      </c>
      <c r="U67" s="496">
        <v>0.6</v>
      </c>
      <c r="V67" s="496">
        <v>0.7</v>
      </c>
      <c r="W67" s="496">
        <v>0.7</v>
      </c>
      <c r="X67" s="496">
        <v>0.4</v>
      </c>
      <c r="Y67" s="496">
        <v>0.25</v>
      </c>
      <c r="Z67" s="496">
        <v>0.2</v>
      </c>
      <c r="AA67" s="496">
        <v>0.2</v>
      </c>
      <c r="AB67" s="496">
        <v>0.05</v>
      </c>
      <c r="AC67" s="567">
        <v>0.05</v>
      </c>
      <c r="AD67" s="41"/>
      <c r="AE67" s="41"/>
      <c r="AF67" s="41"/>
      <c r="AG67" s="41"/>
      <c r="AH67" s="41"/>
      <c r="AI67" s="41"/>
      <c r="AJ67" s="41"/>
      <c r="AK67" s="41"/>
    </row>
    <row r="68" spans="1:67" ht="30.6" customHeight="1" thickBot="1">
      <c r="A68" s="1001"/>
      <c r="B68" s="1004"/>
      <c r="C68" s="1004"/>
      <c r="D68" s="1008"/>
      <c r="E68" s="573" t="s">
        <v>526</v>
      </c>
      <c r="F68" s="569">
        <v>0</v>
      </c>
      <c r="G68" s="569">
        <v>0</v>
      </c>
      <c r="H68" s="569">
        <v>0</v>
      </c>
      <c r="I68" s="569">
        <v>0.05</v>
      </c>
      <c r="J68" s="569">
        <v>0.05</v>
      </c>
      <c r="K68" s="569">
        <v>0.05</v>
      </c>
      <c r="L68" s="569">
        <v>0.8</v>
      </c>
      <c r="M68" s="569">
        <v>0.7</v>
      </c>
      <c r="N68" s="569">
        <v>0.5</v>
      </c>
      <c r="O68" s="569">
        <v>0.4</v>
      </c>
      <c r="P68" s="569">
        <v>0.25</v>
      </c>
      <c r="Q68" s="569">
        <v>0.25</v>
      </c>
      <c r="R68" s="569">
        <v>0.25</v>
      </c>
      <c r="S68" s="569">
        <v>0.25</v>
      </c>
      <c r="T68" s="569">
        <v>0.5</v>
      </c>
      <c r="U68" s="569">
        <v>0.6</v>
      </c>
      <c r="V68" s="569">
        <v>0.7</v>
      </c>
      <c r="W68" s="569">
        <v>0.7</v>
      </c>
      <c r="X68" s="569">
        <v>0.4</v>
      </c>
      <c r="Y68" s="569">
        <v>0.25</v>
      </c>
      <c r="Z68" s="569">
        <v>0.2</v>
      </c>
      <c r="AA68" s="569">
        <v>0.2</v>
      </c>
      <c r="AB68" s="569">
        <v>0.05</v>
      </c>
      <c r="AC68" s="570">
        <v>0.05</v>
      </c>
      <c r="AD68" s="41"/>
      <c r="AE68" s="41"/>
      <c r="AF68" s="41"/>
      <c r="AG68" s="41"/>
      <c r="AH68" s="41"/>
      <c r="AI68" s="41"/>
      <c r="AJ68" s="41"/>
      <c r="AK68" s="41"/>
    </row>
    <row r="69" spans="1:67" ht="38.65" customHeight="1">
      <c r="A69" s="1057" t="str">
        <f t="shared" ref="A69:B69" si="13">A63</f>
        <v>Corridors and Lobby</v>
      </c>
      <c r="B69" s="1133" t="str">
        <f t="shared" si="13"/>
        <v>ResidentialCommon</v>
      </c>
      <c r="C69" s="1029" t="s">
        <v>711</v>
      </c>
      <c r="D69" s="1181" t="s">
        <v>723</v>
      </c>
      <c r="E69" s="571" t="s">
        <v>517</v>
      </c>
      <c r="F69" s="565">
        <v>1</v>
      </c>
      <c r="G69" s="565">
        <v>1</v>
      </c>
      <c r="H69" s="565">
        <v>1</v>
      </c>
      <c r="I69" s="565">
        <v>1</v>
      </c>
      <c r="J69" s="565">
        <v>1</v>
      </c>
      <c r="K69" s="565">
        <v>1</v>
      </c>
      <c r="L69" s="565">
        <v>1</v>
      </c>
      <c r="M69" s="565">
        <v>1</v>
      </c>
      <c r="N69" s="565">
        <v>1</v>
      </c>
      <c r="O69" s="565">
        <v>1</v>
      </c>
      <c r="P69" s="565">
        <v>1</v>
      </c>
      <c r="Q69" s="565">
        <v>1</v>
      </c>
      <c r="R69" s="565">
        <v>1</v>
      </c>
      <c r="S69" s="565">
        <v>1</v>
      </c>
      <c r="T69" s="565">
        <v>1</v>
      </c>
      <c r="U69" s="565">
        <v>1</v>
      </c>
      <c r="V69" s="565">
        <v>1</v>
      </c>
      <c r="W69" s="565">
        <v>1</v>
      </c>
      <c r="X69" s="565">
        <v>1</v>
      </c>
      <c r="Y69" s="565">
        <v>1</v>
      </c>
      <c r="Z69" s="565">
        <v>1</v>
      </c>
      <c r="AA69" s="565">
        <v>1</v>
      </c>
      <c r="AB69" s="565">
        <v>1</v>
      </c>
      <c r="AC69" s="566">
        <v>1</v>
      </c>
      <c r="AD69" s="41"/>
      <c r="AE69" s="41"/>
      <c r="AF69" s="41"/>
      <c r="AG69" s="41"/>
      <c r="AH69" s="41"/>
      <c r="AI69" s="41"/>
      <c r="AJ69" s="41"/>
      <c r="AK69" s="41"/>
      <c r="AM69" s="52"/>
    </row>
    <row r="70" spans="1:67" ht="38.65" customHeight="1">
      <c r="A70" s="1058"/>
      <c r="B70" s="1003"/>
      <c r="C70" s="1003"/>
      <c r="D70" s="1007"/>
      <c r="E70" s="572" t="s">
        <v>524</v>
      </c>
      <c r="F70" s="496">
        <v>1</v>
      </c>
      <c r="G70" s="496">
        <v>1</v>
      </c>
      <c r="H70" s="496">
        <v>1</v>
      </c>
      <c r="I70" s="496">
        <v>1</v>
      </c>
      <c r="J70" s="496">
        <v>1</v>
      </c>
      <c r="K70" s="496">
        <v>1</v>
      </c>
      <c r="L70" s="496">
        <v>1</v>
      </c>
      <c r="M70" s="496">
        <v>1</v>
      </c>
      <c r="N70" s="496">
        <v>1</v>
      </c>
      <c r="O70" s="496">
        <v>1</v>
      </c>
      <c r="P70" s="496">
        <v>1</v>
      </c>
      <c r="Q70" s="496">
        <v>1</v>
      </c>
      <c r="R70" s="496">
        <v>1</v>
      </c>
      <c r="S70" s="496">
        <v>1</v>
      </c>
      <c r="T70" s="496">
        <v>1</v>
      </c>
      <c r="U70" s="496">
        <v>1</v>
      </c>
      <c r="V70" s="496">
        <v>1</v>
      </c>
      <c r="W70" s="496">
        <v>1</v>
      </c>
      <c r="X70" s="496">
        <v>1</v>
      </c>
      <c r="Y70" s="496">
        <v>1</v>
      </c>
      <c r="Z70" s="496">
        <v>1</v>
      </c>
      <c r="AA70" s="496">
        <v>1</v>
      </c>
      <c r="AB70" s="496">
        <v>1</v>
      </c>
      <c r="AC70" s="567">
        <v>1</v>
      </c>
      <c r="AD70" s="41"/>
      <c r="AE70" s="41"/>
      <c r="AF70" s="41"/>
      <c r="AG70" s="41"/>
      <c r="AH70" s="41"/>
      <c r="AI70" s="41"/>
      <c r="AJ70" s="41"/>
      <c r="AK70" s="41"/>
      <c r="AM70" s="52"/>
    </row>
    <row r="71" spans="1:67" ht="38.65" customHeight="1" thickBot="1">
      <c r="A71" s="1059"/>
      <c r="B71" s="1036"/>
      <c r="C71" s="1036"/>
      <c r="D71" s="1152"/>
      <c r="E71" s="573" t="s">
        <v>526</v>
      </c>
      <c r="F71" s="569">
        <v>1</v>
      </c>
      <c r="G71" s="569">
        <v>1</v>
      </c>
      <c r="H71" s="569">
        <v>1</v>
      </c>
      <c r="I71" s="569">
        <v>1</v>
      </c>
      <c r="J71" s="569">
        <v>1</v>
      </c>
      <c r="K71" s="569">
        <v>1</v>
      </c>
      <c r="L71" s="569">
        <v>1</v>
      </c>
      <c r="M71" s="569">
        <v>1</v>
      </c>
      <c r="N71" s="569">
        <v>1</v>
      </c>
      <c r="O71" s="569">
        <v>1</v>
      </c>
      <c r="P71" s="569">
        <v>1</v>
      </c>
      <c r="Q71" s="569">
        <v>1</v>
      </c>
      <c r="R71" s="569">
        <v>1</v>
      </c>
      <c r="S71" s="569">
        <v>1</v>
      </c>
      <c r="T71" s="569">
        <v>1</v>
      </c>
      <c r="U71" s="569">
        <v>1</v>
      </c>
      <c r="V71" s="569">
        <v>1</v>
      </c>
      <c r="W71" s="569">
        <v>1</v>
      </c>
      <c r="X71" s="569">
        <v>1</v>
      </c>
      <c r="Y71" s="569">
        <v>1</v>
      </c>
      <c r="Z71" s="569">
        <v>1</v>
      </c>
      <c r="AA71" s="569">
        <v>1</v>
      </c>
      <c r="AB71" s="569">
        <v>1</v>
      </c>
      <c r="AC71" s="570">
        <v>1</v>
      </c>
      <c r="AD71" s="41"/>
      <c r="AE71" s="41"/>
      <c r="AF71" s="41"/>
      <c r="AG71" s="41"/>
      <c r="AH71" s="41"/>
      <c r="AI71" s="41"/>
      <c r="AJ71" s="41"/>
      <c r="AK71" s="41"/>
      <c r="AM71" s="52"/>
    </row>
    <row r="72" spans="1:67" ht="38.65" customHeight="1">
      <c r="A72" s="1063" t="str">
        <f t="shared" ref="A72:B72" si="14">A69</f>
        <v>Corridors and Lobby</v>
      </c>
      <c r="B72" s="1134" t="str">
        <f t="shared" si="14"/>
        <v>ResidentialCommon</v>
      </c>
      <c r="C72" s="1029" t="s">
        <v>308</v>
      </c>
      <c r="D72" s="1176" t="s">
        <v>723</v>
      </c>
      <c r="E72" s="505" t="s">
        <v>517</v>
      </c>
      <c r="F72" s="518">
        <v>0.25</v>
      </c>
      <c r="G72" s="518">
        <v>0.25</v>
      </c>
      <c r="H72" s="518">
        <v>0.25</v>
      </c>
      <c r="I72" s="518">
        <v>0.25</v>
      </c>
      <c r="J72" s="518">
        <v>0.25</v>
      </c>
      <c r="K72" s="518">
        <v>0.25</v>
      </c>
      <c r="L72" s="518">
        <v>0.25</v>
      </c>
      <c r="M72" s="518">
        <v>0.25</v>
      </c>
      <c r="N72" s="518">
        <v>0.25</v>
      </c>
      <c r="O72" s="518">
        <v>0.25</v>
      </c>
      <c r="P72" s="518">
        <v>0.25</v>
      </c>
      <c r="Q72" s="518">
        <v>0.25</v>
      </c>
      <c r="R72" s="518">
        <v>0.25</v>
      </c>
      <c r="S72" s="518">
        <v>0.25</v>
      </c>
      <c r="T72" s="518">
        <v>0.25</v>
      </c>
      <c r="U72" s="518">
        <v>0.25</v>
      </c>
      <c r="V72" s="518">
        <v>0.25</v>
      </c>
      <c r="W72" s="518">
        <v>0.25</v>
      </c>
      <c r="X72" s="518">
        <v>0.25</v>
      </c>
      <c r="Y72" s="518">
        <v>0.25</v>
      </c>
      <c r="Z72" s="518">
        <v>0.25</v>
      </c>
      <c r="AA72" s="518">
        <v>0.25</v>
      </c>
      <c r="AB72" s="518">
        <v>0.25</v>
      </c>
      <c r="AC72" s="519">
        <v>0.25</v>
      </c>
      <c r="AD72" s="41"/>
      <c r="AE72" s="41"/>
      <c r="AF72" s="41"/>
      <c r="AG72" s="41"/>
      <c r="AH72" s="41"/>
      <c r="AI72" s="41"/>
      <c r="AJ72" s="41"/>
      <c r="AK72" s="41"/>
      <c r="AM72" s="52"/>
    </row>
    <row r="73" spans="1:67" ht="38.65" customHeight="1">
      <c r="A73" s="1058"/>
      <c r="B73" s="1003"/>
      <c r="C73" s="1003"/>
      <c r="D73" s="1126"/>
      <c r="E73" s="503" t="s">
        <v>524</v>
      </c>
      <c r="F73" s="496">
        <v>0.25</v>
      </c>
      <c r="G73" s="496">
        <v>0.25</v>
      </c>
      <c r="H73" s="496">
        <v>0.25</v>
      </c>
      <c r="I73" s="496">
        <v>0.25</v>
      </c>
      <c r="J73" s="496">
        <v>0.25</v>
      </c>
      <c r="K73" s="496">
        <v>0.25</v>
      </c>
      <c r="L73" s="496">
        <v>0.25</v>
      </c>
      <c r="M73" s="496">
        <v>0.25</v>
      </c>
      <c r="N73" s="496">
        <v>0.25</v>
      </c>
      <c r="O73" s="496">
        <v>0.25</v>
      </c>
      <c r="P73" s="496">
        <v>0.25</v>
      </c>
      <c r="Q73" s="496">
        <v>0.25</v>
      </c>
      <c r="R73" s="496">
        <v>0.25</v>
      </c>
      <c r="S73" s="496">
        <v>0.25</v>
      </c>
      <c r="T73" s="496">
        <v>0.25</v>
      </c>
      <c r="U73" s="496">
        <v>0.25</v>
      </c>
      <c r="V73" s="496">
        <v>0.25</v>
      </c>
      <c r="W73" s="496">
        <v>0.25</v>
      </c>
      <c r="X73" s="496">
        <v>0.25</v>
      </c>
      <c r="Y73" s="496">
        <v>0.25</v>
      </c>
      <c r="Z73" s="496">
        <v>0.25</v>
      </c>
      <c r="AA73" s="496">
        <v>0.25</v>
      </c>
      <c r="AB73" s="496">
        <v>0.25</v>
      </c>
      <c r="AC73" s="499">
        <v>0.25</v>
      </c>
      <c r="AD73" s="41"/>
      <c r="AE73" s="41"/>
      <c r="AF73" s="41"/>
      <c r="AG73" s="41"/>
      <c r="AH73" s="41"/>
      <c r="AI73" s="41"/>
      <c r="AJ73" s="41"/>
      <c r="AK73" s="41"/>
      <c r="AM73" s="52"/>
    </row>
    <row r="74" spans="1:67" ht="38.65" customHeight="1" thickBot="1">
      <c r="A74" s="1059"/>
      <c r="B74" s="1036"/>
      <c r="C74" s="1030"/>
      <c r="D74" s="1127"/>
      <c r="E74" s="517" t="s">
        <v>526</v>
      </c>
      <c r="F74" s="520">
        <v>0.25</v>
      </c>
      <c r="G74" s="520">
        <v>0.25</v>
      </c>
      <c r="H74" s="520">
        <v>0.25</v>
      </c>
      <c r="I74" s="520">
        <v>0.25</v>
      </c>
      <c r="J74" s="520">
        <v>0.25</v>
      </c>
      <c r="K74" s="520">
        <v>0.25</v>
      </c>
      <c r="L74" s="520">
        <v>0.25</v>
      </c>
      <c r="M74" s="520">
        <v>0.25</v>
      </c>
      <c r="N74" s="520">
        <v>0.25</v>
      </c>
      <c r="O74" s="520">
        <v>0.25</v>
      </c>
      <c r="P74" s="520">
        <v>0.25</v>
      </c>
      <c r="Q74" s="520">
        <v>0.25</v>
      </c>
      <c r="R74" s="520">
        <v>0.25</v>
      </c>
      <c r="S74" s="520">
        <v>0.25</v>
      </c>
      <c r="T74" s="520">
        <v>0.25</v>
      </c>
      <c r="U74" s="520">
        <v>0.25</v>
      </c>
      <c r="V74" s="520">
        <v>0.25</v>
      </c>
      <c r="W74" s="520">
        <v>0.25</v>
      </c>
      <c r="X74" s="520">
        <v>0.25</v>
      </c>
      <c r="Y74" s="520">
        <v>0.25</v>
      </c>
      <c r="Z74" s="520">
        <v>0.25</v>
      </c>
      <c r="AA74" s="520">
        <v>0.25</v>
      </c>
      <c r="AB74" s="520">
        <v>0.25</v>
      </c>
      <c r="AC74" s="521">
        <v>0.25</v>
      </c>
      <c r="AD74" s="41"/>
      <c r="AE74" s="41"/>
      <c r="AF74" s="41"/>
      <c r="AG74" s="41"/>
      <c r="AH74" s="41"/>
      <c r="AI74" s="41"/>
      <c r="AJ74" s="41"/>
      <c r="AK74" s="41"/>
      <c r="AM74" s="52"/>
      <c r="AO74" s="584"/>
    </row>
    <row r="75" spans="1:67" ht="38.65" customHeight="1">
      <c r="A75" s="1063" t="str">
        <f t="shared" ref="A75:B75" si="15">A72</f>
        <v>Corridors and Lobby</v>
      </c>
      <c r="B75" s="1134" t="str">
        <f t="shared" si="15"/>
        <v>ResidentialCommon</v>
      </c>
      <c r="C75" s="1101" t="s">
        <v>715</v>
      </c>
      <c r="D75" s="1125" t="s">
        <v>723</v>
      </c>
      <c r="E75" s="502" t="s">
        <v>517</v>
      </c>
      <c r="F75" s="818">
        <f>IF((F69=1),Thermostat!$B$7,Thermostat!$B$8)</f>
        <v>68</v>
      </c>
      <c r="G75" s="818">
        <f>IF((G69=1),Thermostat!$B$7,Thermostat!$B$8)</f>
        <v>68</v>
      </c>
      <c r="H75" s="818">
        <f>IF((H69=1),Thermostat!$B$7,Thermostat!$B$8)</f>
        <v>68</v>
      </c>
      <c r="I75" s="818">
        <f>IF((I69=1),Thermostat!$B$7,Thermostat!$B$8)</f>
        <v>68</v>
      </c>
      <c r="J75" s="818">
        <f>IF((J69=1),Thermostat!$B$7,Thermostat!$B$8)</f>
        <v>68</v>
      </c>
      <c r="K75" s="818">
        <f>IF((K69=1),Thermostat!$B$7,Thermostat!$B$8)</f>
        <v>68</v>
      </c>
      <c r="L75" s="818">
        <f>IF((L69=1),Thermostat!$B$7,Thermostat!$B$8)</f>
        <v>68</v>
      </c>
      <c r="M75" s="818">
        <f>IF((M69=1),Thermostat!$B$7,Thermostat!$B$8)</f>
        <v>68</v>
      </c>
      <c r="N75" s="818">
        <f>IF((N69=1),Thermostat!$B$7,Thermostat!$B$8)</f>
        <v>68</v>
      </c>
      <c r="O75" s="818">
        <f>IF((O69=1),Thermostat!$B$7,Thermostat!$B$8)</f>
        <v>68</v>
      </c>
      <c r="P75" s="818">
        <f>IF((P69=1),Thermostat!$B$7,Thermostat!$B$8)</f>
        <v>68</v>
      </c>
      <c r="Q75" s="818">
        <f>IF((Q69=1),Thermostat!$B$7,Thermostat!$B$8)</f>
        <v>68</v>
      </c>
      <c r="R75" s="818">
        <f>IF((R69=1),Thermostat!$B$7,Thermostat!$B$8)</f>
        <v>68</v>
      </c>
      <c r="S75" s="818">
        <f>IF((S69=1),Thermostat!$B$7,Thermostat!$B$8)</f>
        <v>68</v>
      </c>
      <c r="T75" s="818">
        <f>IF((T69=1),Thermostat!$B$7,Thermostat!$B$8)</f>
        <v>68</v>
      </c>
      <c r="U75" s="818">
        <f>IF((U69=1),Thermostat!$B$7,Thermostat!$B$8)</f>
        <v>68</v>
      </c>
      <c r="V75" s="818">
        <f>IF((V69=1),Thermostat!$B$7,Thermostat!$B$8)</f>
        <v>68</v>
      </c>
      <c r="W75" s="818">
        <f>IF((W69=1),Thermostat!$B$7,Thermostat!$B$8)</f>
        <v>68</v>
      </c>
      <c r="X75" s="818">
        <f>IF((X69=1),Thermostat!$B$7,Thermostat!$B$8)</f>
        <v>68</v>
      </c>
      <c r="Y75" s="818">
        <f>IF((Y69=1),Thermostat!$B$7,Thermostat!$B$8)</f>
        <v>68</v>
      </c>
      <c r="Z75" s="818">
        <f>IF((Z69=1),Thermostat!$B$7,Thermostat!$B$8)</f>
        <v>68</v>
      </c>
      <c r="AA75" s="818">
        <f>IF((AA69=1),Thermostat!$B$7,Thermostat!$B$8)</f>
        <v>68</v>
      </c>
      <c r="AB75" s="818">
        <f>IF((AB69=1),Thermostat!$B$7,Thermostat!$B$8)</f>
        <v>68</v>
      </c>
      <c r="AC75" s="506">
        <f>IF((AC69=1),Thermostat!$B$7,Thermostat!$B$8)</f>
        <v>68</v>
      </c>
      <c r="AD75" s="41"/>
      <c r="AE75" s="41"/>
      <c r="AF75" s="41"/>
      <c r="AG75" s="41"/>
      <c r="AH75" s="41"/>
      <c r="AI75" s="41"/>
      <c r="AJ75" s="41"/>
      <c r="AK75" s="41"/>
      <c r="AM75" s="52"/>
      <c r="AO75"/>
      <c r="AP75"/>
      <c r="AQ75" s="585"/>
      <c r="AR75" s="586"/>
      <c r="AS75" s="586"/>
      <c r="AT75" s="586"/>
      <c r="AU75" s="586"/>
      <c r="AV75" s="586"/>
      <c r="AW75" s="586"/>
      <c r="AX75" s="586"/>
      <c r="AY75" s="586"/>
      <c r="AZ75" s="586"/>
      <c r="BA75" s="586"/>
      <c r="BB75" s="586"/>
      <c r="BC75" s="586"/>
      <c r="BD75" s="586"/>
      <c r="BE75" s="586"/>
      <c r="BF75" s="586"/>
      <c r="BG75" s="586"/>
      <c r="BH75" s="586"/>
      <c r="BI75" s="586"/>
      <c r="BJ75" s="586"/>
      <c r="BK75" s="586"/>
      <c r="BL75" s="586"/>
      <c r="BM75" s="586"/>
      <c r="BN75" s="586"/>
      <c r="BO75" s="586"/>
    </row>
    <row r="76" spans="1:67" ht="38.65" customHeight="1">
      <c r="A76" s="1058"/>
      <c r="B76" s="1003"/>
      <c r="C76" s="1090"/>
      <c r="D76" s="1126"/>
      <c r="E76" s="503" t="s">
        <v>524</v>
      </c>
      <c r="F76" s="819">
        <f>IF((F70=1),Thermostat!$B$7,Thermostat!$B$8)</f>
        <v>68</v>
      </c>
      <c r="G76" s="819">
        <f>IF((G70=1),Thermostat!$B$7,Thermostat!$B$8)</f>
        <v>68</v>
      </c>
      <c r="H76" s="819">
        <f>IF((H70=1),Thermostat!$B$7,Thermostat!$B$8)</f>
        <v>68</v>
      </c>
      <c r="I76" s="819">
        <f>IF((I70=1),Thermostat!$B$7,Thermostat!$B$8)</f>
        <v>68</v>
      </c>
      <c r="J76" s="819">
        <f>IF((J70=1),Thermostat!$B$7,Thermostat!$B$8)</f>
        <v>68</v>
      </c>
      <c r="K76" s="819">
        <f>IF((K70=1),Thermostat!$B$7,Thermostat!$B$8)</f>
        <v>68</v>
      </c>
      <c r="L76" s="819">
        <f>IF((L70=1),Thermostat!$B$7,Thermostat!$B$8)</f>
        <v>68</v>
      </c>
      <c r="M76" s="819">
        <f>IF((M70=1),Thermostat!$B$7,Thermostat!$B$8)</f>
        <v>68</v>
      </c>
      <c r="N76" s="819">
        <f>IF((N70=1),Thermostat!$B$7,Thermostat!$B$8)</f>
        <v>68</v>
      </c>
      <c r="O76" s="819">
        <f>IF((O70=1),Thermostat!$B$7,Thermostat!$B$8)</f>
        <v>68</v>
      </c>
      <c r="P76" s="819">
        <f>IF((P70=1),Thermostat!$B$7,Thermostat!$B$8)</f>
        <v>68</v>
      </c>
      <c r="Q76" s="819">
        <f>IF((Q70=1),Thermostat!$B$7,Thermostat!$B$8)</f>
        <v>68</v>
      </c>
      <c r="R76" s="819">
        <f>IF((R70=1),Thermostat!$B$7,Thermostat!$B$8)</f>
        <v>68</v>
      </c>
      <c r="S76" s="819">
        <f>IF((S70=1),Thermostat!$B$7,Thermostat!$B$8)</f>
        <v>68</v>
      </c>
      <c r="T76" s="819">
        <f>IF((T70=1),Thermostat!$B$7,Thermostat!$B$8)</f>
        <v>68</v>
      </c>
      <c r="U76" s="819">
        <f>IF((U70=1),Thermostat!$B$7,Thermostat!$B$8)</f>
        <v>68</v>
      </c>
      <c r="V76" s="819">
        <f>IF((V70=1),Thermostat!$B$7,Thermostat!$B$8)</f>
        <v>68</v>
      </c>
      <c r="W76" s="819">
        <f>IF((W70=1),Thermostat!$B$7,Thermostat!$B$8)</f>
        <v>68</v>
      </c>
      <c r="X76" s="819">
        <f>IF((X70=1),Thermostat!$B$7,Thermostat!$B$8)</f>
        <v>68</v>
      </c>
      <c r="Y76" s="819">
        <f>IF((Y70=1),Thermostat!$B$7,Thermostat!$B$8)</f>
        <v>68</v>
      </c>
      <c r="Z76" s="819">
        <f>IF((Z70=1),Thermostat!$B$7,Thermostat!$B$8)</f>
        <v>68</v>
      </c>
      <c r="AA76" s="819">
        <f>IF((AA70=1),Thermostat!$B$7,Thermostat!$B$8)</f>
        <v>68</v>
      </c>
      <c r="AB76" s="819">
        <f>IF((AB70=1),Thermostat!$B$7,Thermostat!$B$8)</f>
        <v>68</v>
      </c>
      <c r="AC76" s="507">
        <f>IF((AC70=1),Thermostat!$B$7,Thermostat!$B$8)</f>
        <v>68</v>
      </c>
      <c r="AD76" s="41"/>
      <c r="AE76" s="41"/>
      <c r="AF76" s="41"/>
      <c r="AG76" s="41"/>
      <c r="AH76" s="41"/>
      <c r="AI76" s="41"/>
      <c r="AJ76" s="41"/>
      <c r="AK76" s="41"/>
      <c r="AM76" s="52"/>
      <c r="AO76"/>
      <c r="AP76"/>
      <c r="AQ76" s="585"/>
      <c r="AR76" s="586"/>
      <c r="AS76" s="586"/>
      <c r="AT76" s="586"/>
      <c r="AU76" s="586"/>
      <c r="AV76" s="586"/>
      <c r="AW76" s="586"/>
      <c r="AX76" s="586"/>
      <c r="AY76" s="586"/>
      <c r="AZ76" s="586"/>
      <c r="BA76" s="586"/>
      <c r="BB76" s="586"/>
      <c r="BC76" s="586"/>
      <c r="BD76" s="586"/>
      <c r="BE76" s="586"/>
      <c r="BF76" s="586"/>
      <c r="BG76" s="586"/>
      <c r="BH76" s="586"/>
      <c r="BI76" s="586"/>
      <c r="BJ76" s="586"/>
      <c r="BK76" s="586"/>
      <c r="BL76" s="586"/>
      <c r="BM76" s="586"/>
      <c r="BN76" s="586"/>
      <c r="BO76" s="586"/>
    </row>
    <row r="77" spans="1:67" ht="38.65" customHeight="1" thickBot="1">
      <c r="A77" s="1059"/>
      <c r="B77" s="1036"/>
      <c r="C77" s="1100"/>
      <c r="D77" s="1138"/>
      <c r="E77" s="504" t="s">
        <v>526</v>
      </c>
      <c r="F77" s="820">
        <f>IF((F71=1),Thermostat!$B$7,Thermostat!$B$8)</f>
        <v>68</v>
      </c>
      <c r="G77" s="820">
        <f>IF((G71=1),Thermostat!$B$7,Thermostat!$B$8)</f>
        <v>68</v>
      </c>
      <c r="H77" s="820">
        <f>IF((H71=1),Thermostat!$B$7,Thermostat!$B$8)</f>
        <v>68</v>
      </c>
      <c r="I77" s="820">
        <f>IF((I71=1),Thermostat!$B$7,Thermostat!$B$8)</f>
        <v>68</v>
      </c>
      <c r="J77" s="820">
        <f>IF((J71=1),Thermostat!$B$7,Thermostat!$B$8)</f>
        <v>68</v>
      </c>
      <c r="K77" s="820">
        <f>IF((K71=1),Thermostat!$B$7,Thermostat!$B$8)</f>
        <v>68</v>
      </c>
      <c r="L77" s="820">
        <f>IF((L71=1),Thermostat!$B$7,Thermostat!$B$8)</f>
        <v>68</v>
      </c>
      <c r="M77" s="820">
        <f>IF((M71=1),Thermostat!$B$7,Thermostat!$B$8)</f>
        <v>68</v>
      </c>
      <c r="N77" s="820">
        <f>IF((N71=1),Thermostat!$B$7,Thermostat!$B$8)</f>
        <v>68</v>
      </c>
      <c r="O77" s="820">
        <f>IF((O71=1),Thermostat!$B$7,Thermostat!$B$8)</f>
        <v>68</v>
      </c>
      <c r="P77" s="820">
        <f>IF((P71=1),Thermostat!$B$7,Thermostat!$B$8)</f>
        <v>68</v>
      </c>
      <c r="Q77" s="820">
        <f>IF((Q71=1),Thermostat!$B$7,Thermostat!$B$8)</f>
        <v>68</v>
      </c>
      <c r="R77" s="820">
        <f>IF((R71=1),Thermostat!$B$7,Thermostat!$B$8)</f>
        <v>68</v>
      </c>
      <c r="S77" s="820">
        <f>IF((S71=1),Thermostat!$B$7,Thermostat!$B$8)</f>
        <v>68</v>
      </c>
      <c r="T77" s="820">
        <f>IF((T71=1),Thermostat!$B$7,Thermostat!$B$8)</f>
        <v>68</v>
      </c>
      <c r="U77" s="820">
        <f>IF((U71=1),Thermostat!$B$7,Thermostat!$B$8)</f>
        <v>68</v>
      </c>
      <c r="V77" s="820">
        <f>IF((V71=1),Thermostat!$B$7,Thermostat!$B$8)</f>
        <v>68</v>
      </c>
      <c r="W77" s="820">
        <f>IF((W71=1),Thermostat!$B$7,Thermostat!$B$8)</f>
        <v>68</v>
      </c>
      <c r="X77" s="820">
        <f>IF((X71=1),Thermostat!$B$7,Thermostat!$B$8)</f>
        <v>68</v>
      </c>
      <c r="Y77" s="820">
        <f>IF((Y71=1),Thermostat!$B$7,Thermostat!$B$8)</f>
        <v>68</v>
      </c>
      <c r="Z77" s="820">
        <f>IF((Z71=1),Thermostat!$B$7,Thermostat!$B$8)</f>
        <v>68</v>
      </c>
      <c r="AA77" s="820">
        <f>IF((AA71=1),Thermostat!$B$7,Thermostat!$B$8)</f>
        <v>68</v>
      </c>
      <c r="AB77" s="820">
        <f>IF((AB71=1),Thermostat!$B$7,Thermostat!$B$8)</f>
        <v>68</v>
      </c>
      <c r="AC77" s="508">
        <f>IF((AC71=1),Thermostat!$B$7,Thermostat!$B$8)</f>
        <v>68</v>
      </c>
      <c r="AD77" s="41"/>
      <c r="AE77" s="41"/>
      <c r="AF77" s="41"/>
      <c r="AG77" s="41"/>
      <c r="AH77" s="41"/>
      <c r="AI77" s="41"/>
      <c r="AJ77" s="41"/>
      <c r="AK77" s="41"/>
      <c r="AM77" s="52"/>
      <c r="AO77"/>
      <c r="AP77"/>
      <c r="AQ77" s="585"/>
      <c r="AR77" s="586"/>
      <c r="AS77" s="586"/>
      <c r="AT77" s="586"/>
      <c r="AU77" s="586"/>
      <c r="AV77" s="586"/>
      <c r="AW77" s="586"/>
      <c r="AX77" s="586"/>
      <c r="AY77" s="586"/>
      <c r="AZ77" s="586"/>
      <c r="BA77" s="586"/>
      <c r="BB77" s="586"/>
      <c r="BC77" s="586"/>
      <c r="BD77" s="586"/>
      <c r="BE77" s="586"/>
      <c r="BF77" s="586"/>
      <c r="BG77" s="586"/>
      <c r="BH77" s="586"/>
      <c r="BI77" s="586"/>
      <c r="BJ77" s="586"/>
      <c r="BK77" s="586"/>
      <c r="BL77" s="586"/>
      <c r="BM77" s="586"/>
      <c r="BN77" s="586"/>
      <c r="BO77" s="586"/>
    </row>
    <row r="78" spans="1:67" ht="38.65" customHeight="1">
      <c r="A78" s="1063" t="str">
        <f t="shared" ref="A78:B78" si="16">A75</f>
        <v>Corridors and Lobby</v>
      </c>
      <c r="B78" s="1134" t="str">
        <f t="shared" si="16"/>
        <v>ResidentialCommon</v>
      </c>
      <c r="C78" s="1101" t="s">
        <v>716</v>
      </c>
      <c r="D78" s="1125" t="s">
        <v>723</v>
      </c>
      <c r="E78" s="502" t="s">
        <v>517</v>
      </c>
      <c r="F78" s="818">
        <f>IF((F69=1),Thermostat!$B$9,Thermostat!$B$10)</f>
        <v>78</v>
      </c>
      <c r="G78" s="818">
        <f>IF((G69=1),Thermostat!$B$9,Thermostat!$B$10)</f>
        <v>78</v>
      </c>
      <c r="H78" s="818">
        <f>IF((H69=1),Thermostat!$B$9,Thermostat!$B$10)</f>
        <v>78</v>
      </c>
      <c r="I78" s="818">
        <f>IF((I69=1),Thermostat!$B$9,Thermostat!$B$10)</f>
        <v>78</v>
      </c>
      <c r="J78" s="818">
        <f>IF((J69=1),Thermostat!$B$9,Thermostat!$B$10)</f>
        <v>78</v>
      </c>
      <c r="K78" s="818">
        <f>IF((K69=1),Thermostat!$B$9,Thermostat!$B$10)</f>
        <v>78</v>
      </c>
      <c r="L78" s="818">
        <f>IF((L69=1),Thermostat!$B$9,Thermostat!$B$10)</f>
        <v>78</v>
      </c>
      <c r="M78" s="818">
        <f>IF((M69=1),Thermostat!$B$9,Thermostat!$B$10)</f>
        <v>78</v>
      </c>
      <c r="N78" s="818">
        <f>IF((N69=1),Thermostat!$B$9,Thermostat!$B$10)</f>
        <v>78</v>
      </c>
      <c r="O78" s="818">
        <f>IF((O69=1),Thermostat!$B$9,Thermostat!$B$10)</f>
        <v>78</v>
      </c>
      <c r="P78" s="818">
        <f>IF((P69=1),Thermostat!$B$9,Thermostat!$B$10)</f>
        <v>78</v>
      </c>
      <c r="Q78" s="818">
        <f>IF((Q69=1),Thermostat!$B$9,Thermostat!$B$10)</f>
        <v>78</v>
      </c>
      <c r="R78" s="818">
        <f>IF((R69=1),Thermostat!$B$9,Thermostat!$B$10)</f>
        <v>78</v>
      </c>
      <c r="S78" s="818">
        <f>IF((S69=1),Thermostat!$B$9,Thermostat!$B$10)</f>
        <v>78</v>
      </c>
      <c r="T78" s="818">
        <f>IF((T69=1),Thermostat!$B$9,Thermostat!$B$10)</f>
        <v>78</v>
      </c>
      <c r="U78" s="818">
        <f>IF((U69=1),Thermostat!$B$9,Thermostat!$B$10)</f>
        <v>78</v>
      </c>
      <c r="V78" s="818">
        <f>IF((V69=1),Thermostat!$B$9,Thermostat!$B$10)</f>
        <v>78</v>
      </c>
      <c r="W78" s="818">
        <f>IF((W69=1),Thermostat!$B$9,Thermostat!$B$10)</f>
        <v>78</v>
      </c>
      <c r="X78" s="818">
        <f>IF((X69=1),Thermostat!$B$9,Thermostat!$B$10)</f>
        <v>78</v>
      </c>
      <c r="Y78" s="818">
        <f>IF((Y69=1),Thermostat!$B$9,Thermostat!$B$10)</f>
        <v>78</v>
      </c>
      <c r="Z78" s="818">
        <f>IF((Z69=1),Thermostat!$B$9,Thermostat!$B$10)</f>
        <v>78</v>
      </c>
      <c r="AA78" s="818">
        <f>IF((AA69=1),Thermostat!$B$9,Thermostat!$B$10)</f>
        <v>78</v>
      </c>
      <c r="AB78" s="818">
        <f>IF((AB69=1),Thermostat!$B$9,Thermostat!$B$10)</f>
        <v>78</v>
      </c>
      <c r="AC78" s="506">
        <f>IF((AC69=1),Thermostat!$B$9,Thermostat!$B$10)</f>
        <v>78</v>
      </c>
      <c r="AD78" s="41"/>
      <c r="AE78" s="41"/>
      <c r="AF78" s="41"/>
      <c r="AG78" s="41"/>
      <c r="AH78" s="41"/>
      <c r="AI78" s="41"/>
      <c r="AJ78" s="41"/>
      <c r="AK78" s="41"/>
      <c r="AM78" s="52"/>
      <c r="AO78"/>
      <c r="AP78"/>
      <c r="AQ78" s="585"/>
      <c r="AR78" s="586"/>
      <c r="AS78" s="586"/>
      <c r="AT78" s="586"/>
      <c r="AU78" s="586"/>
      <c r="AV78" s="586"/>
      <c r="AW78" s="586"/>
      <c r="AX78" s="586"/>
      <c r="AY78" s="586"/>
      <c r="AZ78" s="586"/>
      <c r="BA78" s="586"/>
      <c r="BB78" s="586"/>
      <c r="BC78" s="586"/>
      <c r="BD78" s="586"/>
      <c r="BE78" s="586"/>
      <c r="BF78" s="586"/>
      <c r="BG78" s="586"/>
      <c r="BH78" s="586"/>
      <c r="BI78" s="586"/>
      <c r="BJ78" s="586"/>
      <c r="BK78" s="586"/>
      <c r="BL78" s="586"/>
      <c r="BM78" s="586"/>
      <c r="BN78" s="586"/>
      <c r="BO78" s="586"/>
    </row>
    <row r="79" spans="1:67" ht="38.65" customHeight="1">
      <c r="A79" s="1058"/>
      <c r="B79" s="1003"/>
      <c r="C79" s="1090"/>
      <c r="D79" s="1126"/>
      <c r="E79" s="503" t="s">
        <v>524</v>
      </c>
      <c r="F79" s="819">
        <f>IF((F70=1),Thermostat!$B$9,Thermostat!$B$10)</f>
        <v>78</v>
      </c>
      <c r="G79" s="819">
        <f>IF((G70=1),Thermostat!$B$9,Thermostat!$B$10)</f>
        <v>78</v>
      </c>
      <c r="H79" s="819">
        <f>IF((H70=1),Thermostat!$B$9,Thermostat!$B$10)</f>
        <v>78</v>
      </c>
      <c r="I79" s="819">
        <f>IF((I70=1),Thermostat!$B$9,Thermostat!$B$10)</f>
        <v>78</v>
      </c>
      <c r="J79" s="819">
        <f>IF((J70=1),Thermostat!$B$9,Thermostat!$B$10)</f>
        <v>78</v>
      </c>
      <c r="K79" s="819">
        <f>IF((K70=1),Thermostat!$B$9,Thermostat!$B$10)</f>
        <v>78</v>
      </c>
      <c r="L79" s="819">
        <f>IF((L70=1),Thermostat!$B$9,Thermostat!$B$10)</f>
        <v>78</v>
      </c>
      <c r="M79" s="819">
        <f>IF((M70=1),Thermostat!$B$9,Thermostat!$B$10)</f>
        <v>78</v>
      </c>
      <c r="N79" s="819">
        <f>IF((N70=1),Thermostat!$B$9,Thermostat!$B$10)</f>
        <v>78</v>
      </c>
      <c r="O79" s="819">
        <f>IF((O70=1),Thermostat!$B$9,Thermostat!$B$10)</f>
        <v>78</v>
      </c>
      <c r="P79" s="819">
        <f>IF((P70=1),Thermostat!$B$9,Thermostat!$B$10)</f>
        <v>78</v>
      </c>
      <c r="Q79" s="819">
        <f>IF((Q70=1),Thermostat!$B$9,Thermostat!$B$10)</f>
        <v>78</v>
      </c>
      <c r="R79" s="819">
        <f>IF((R70=1),Thermostat!$B$9,Thermostat!$B$10)</f>
        <v>78</v>
      </c>
      <c r="S79" s="819">
        <f>IF((S70=1),Thermostat!$B$9,Thermostat!$B$10)</f>
        <v>78</v>
      </c>
      <c r="T79" s="819">
        <f>IF((T70=1),Thermostat!$B$9,Thermostat!$B$10)</f>
        <v>78</v>
      </c>
      <c r="U79" s="819">
        <f>IF((U70=1),Thermostat!$B$9,Thermostat!$B$10)</f>
        <v>78</v>
      </c>
      <c r="V79" s="819">
        <f>IF((V70=1),Thermostat!$B$9,Thermostat!$B$10)</f>
        <v>78</v>
      </c>
      <c r="W79" s="819">
        <f>IF((W70=1),Thermostat!$B$9,Thermostat!$B$10)</f>
        <v>78</v>
      </c>
      <c r="X79" s="819">
        <f>IF((X70=1),Thermostat!$B$9,Thermostat!$B$10)</f>
        <v>78</v>
      </c>
      <c r="Y79" s="819">
        <f>IF((Y70=1),Thermostat!$B$9,Thermostat!$B$10)</f>
        <v>78</v>
      </c>
      <c r="Z79" s="819">
        <f>IF((Z70=1),Thermostat!$B$9,Thermostat!$B$10)</f>
        <v>78</v>
      </c>
      <c r="AA79" s="819">
        <f>IF((AA70=1),Thermostat!$B$9,Thermostat!$B$10)</f>
        <v>78</v>
      </c>
      <c r="AB79" s="819">
        <f>IF((AB70=1),Thermostat!$B$9,Thermostat!$B$10)</f>
        <v>78</v>
      </c>
      <c r="AC79" s="507">
        <f>IF((AC70=1),Thermostat!$B$9,Thermostat!$B$10)</f>
        <v>78</v>
      </c>
      <c r="AD79" s="41"/>
      <c r="AE79" s="41"/>
      <c r="AF79" s="41"/>
      <c r="AG79" s="41"/>
      <c r="AH79" s="41"/>
      <c r="AI79" s="41"/>
      <c r="AJ79" s="41"/>
      <c r="AK79" s="41"/>
      <c r="AM79" s="52"/>
      <c r="AO79"/>
      <c r="AP79"/>
      <c r="AQ79" s="585"/>
      <c r="AR79" s="586"/>
      <c r="AS79" s="586"/>
      <c r="AT79" s="586"/>
      <c r="AU79" s="586"/>
      <c r="AV79" s="586"/>
      <c r="AW79" s="586"/>
      <c r="AX79" s="586"/>
      <c r="AY79" s="586"/>
      <c r="AZ79" s="586"/>
      <c r="BA79" s="586"/>
      <c r="BB79" s="586"/>
      <c r="BC79" s="586"/>
      <c r="BD79" s="586"/>
      <c r="BE79" s="586"/>
      <c r="BF79" s="586"/>
      <c r="BG79" s="586"/>
      <c r="BH79" s="586"/>
      <c r="BI79" s="586"/>
      <c r="BJ79" s="586"/>
      <c r="BK79" s="586"/>
      <c r="BL79" s="586"/>
      <c r="BM79" s="586"/>
      <c r="BN79" s="586"/>
      <c r="BO79" s="586"/>
    </row>
    <row r="80" spans="1:67" ht="38.65" customHeight="1" thickBot="1">
      <c r="A80" s="1059"/>
      <c r="B80" s="1036"/>
      <c r="C80" s="1100"/>
      <c r="D80" s="1138"/>
      <c r="E80" s="504" t="s">
        <v>526</v>
      </c>
      <c r="F80" s="820">
        <f>IF((F71=1),Thermostat!$B$9,Thermostat!$B$10)</f>
        <v>78</v>
      </c>
      <c r="G80" s="820">
        <f>IF((G71=1),Thermostat!$B$9,Thermostat!$B$10)</f>
        <v>78</v>
      </c>
      <c r="H80" s="820">
        <f>IF((H71=1),Thermostat!$B$9,Thermostat!$B$10)</f>
        <v>78</v>
      </c>
      <c r="I80" s="820">
        <f>IF((I71=1),Thermostat!$B$9,Thermostat!$B$10)</f>
        <v>78</v>
      </c>
      <c r="J80" s="820">
        <f>IF((J71=1),Thermostat!$B$9,Thermostat!$B$10)</f>
        <v>78</v>
      </c>
      <c r="K80" s="820">
        <f>IF((K71=1),Thermostat!$B$9,Thermostat!$B$10)</f>
        <v>78</v>
      </c>
      <c r="L80" s="820">
        <f>IF((L71=1),Thermostat!$B$9,Thermostat!$B$10)</f>
        <v>78</v>
      </c>
      <c r="M80" s="820">
        <f>IF((M71=1),Thermostat!$B$9,Thermostat!$B$10)</f>
        <v>78</v>
      </c>
      <c r="N80" s="820">
        <f>IF((N71=1),Thermostat!$B$9,Thermostat!$B$10)</f>
        <v>78</v>
      </c>
      <c r="O80" s="820">
        <f>IF((O71=1),Thermostat!$B$9,Thermostat!$B$10)</f>
        <v>78</v>
      </c>
      <c r="P80" s="820">
        <f>IF((P71=1),Thermostat!$B$9,Thermostat!$B$10)</f>
        <v>78</v>
      </c>
      <c r="Q80" s="820">
        <f>IF((Q71=1),Thermostat!$B$9,Thermostat!$B$10)</f>
        <v>78</v>
      </c>
      <c r="R80" s="820">
        <f>IF((R71=1),Thermostat!$B$9,Thermostat!$B$10)</f>
        <v>78</v>
      </c>
      <c r="S80" s="820">
        <f>IF((S71=1),Thermostat!$B$9,Thermostat!$B$10)</f>
        <v>78</v>
      </c>
      <c r="T80" s="820">
        <f>IF((T71=1),Thermostat!$B$9,Thermostat!$B$10)</f>
        <v>78</v>
      </c>
      <c r="U80" s="820">
        <f>IF((U71=1),Thermostat!$B$9,Thermostat!$B$10)</f>
        <v>78</v>
      </c>
      <c r="V80" s="820">
        <f>IF((V71=1),Thermostat!$B$9,Thermostat!$B$10)</f>
        <v>78</v>
      </c>
      <c r="W80" s="820">
        <f>IF((W71=1),Thermostat!$B$9,Thermostat!$B$10)</f>
        <v>78</v>
      </c>
      <c r="X80" s="820">
        <f>IF((X71=1),Thermostat!$B$9,Thermostat!$B$10)</f>
        <v>78</v>
      </c>
      <c r="Y80" s="820">
        <f>IF((Y71=1),Thermostat!$B$9,Thermostat!$B$10)</f>
        <v>78</v>
      </c>
      <c r="Z80" s="820">
        <f>IF((Z71=1),Thermostat!$B$9,Thermostat!$B$10)</f>
        <v>78</v>
      </c>
      <c r="AA80" s="820">
        <f>IF((AA71=1),Thermostat!$B$9,Thermostat!$B$10)</f>
        <v>78</v>
      </c>
      <c r="AB80" s="820">
        <f>IF((AB71=1),Thermostat!$B$9,Thermostat!$B$10)</f>
        <v>78</v>
      </c>
      <c r="AC80" s="508">
        <f>IF((AC71=1),Thermostat!$B$9,Thermostat!$B$10)</f>
        <v>78</v>
      </c>
      <c r="AD80" s="41"/>
      <c r="AE80" s="41"/>
      <c r="AF80" s="41"/>
      <c r="AG80" s="41"/>
      <c r="AH80" s="41"/>
      <c r="AI80" s="41"/>
      <c r="AJ80" s="41"/>
      <c r="AK80" s="41"/>
      <c r="AM80" s="52"/>
      <c r="AO80"/>
      <c r="AP80"/>
      <c r="AQ80" s="585"/>
      <c r="AR80" s="586"/>
      <c r="AS80" s="586"/>
      <c r="AT80" s="586"/>
      <c r="AU80" s="586"/>
      <c r="AV80" s="586"/>
      <c r="AW80" s="586"/>
      <c r="AX80" s="586"/>
      <c r="AY80" s="586"/>
      <c r="AZ80" s="586"/>
      <c r="BA80" s="586"/>
      <c r="BB80" s="586"/>
      <c r="BC80" s="586"/>
      <c r="BD80" s="586"/>
      <c r="BE80" s="586"/>
      <c r="BF80" s="586"/>
      <c r="BG80" s="586"/>
      <c r="BH80" s="586"/>
      <c r="BI80" s="586"/>
      <c r="BJ80" s="586"/>
      <c r="BK80" s="586"/>
      <c r="BL80" s="586"/>
      <c r="BM80" s="586"/>
      <c r="BN80" s="586"/>
      <c r="BO80" s="586"/>
    </row>
    <row r="81" spans="1:67" ht="36" customHeight="1" thickBot="1">
      <c r="A81" s="1135" t="s">
        <v>205</v>
      </c>
      <c r="B81" s="1136"/>
      <c r="C81" s="1136"/>
      <c r="D81" s="1136"/>
      <c r="E81" s="1136"/>
      <c r="F81" s="1136"/>
      <c r="G81" s="1136"/>
      <c r="H81" s="1136"/>
      <c r="I81" s="1136"/>
      <c r="J81" s="1136"/>
      <c r="K81" s="1136"/>
      <c r="L81" s="1136"/>
      <c r="M81" s="1136"/>
      <c r="N81" s="1136"/>
      <c r="O81" s="1136"/>
      <c r="P81" s="1136"/>
      <c r="Q81" s="1136"/>
      <c r="R81" s="1136"/>
      <c r="S81" s="1136"/>
      <c r="T81" s="1136"/>
      <c r="U81" s="1136"/>
      <c r="V81" s="1136"/>
      <c r="W81" s="1136"/>
      <c r="X81" s="1136"/>
      <c r="Y81" s="1136"/>
      <c r="Z81" s="1136"/>
      <c r="AA81" s="1136"/>
      <c r="AB81" s="1136"/>
      <c r="AC81" s="1137"/>
      <c r="AD81" s="42"/>
      <c r="AE81" s="41"/>
      <c r="AF81" s="41"/>
      <c r="AG81" s="41"/>
      <c r="AH81" s="41"/>
      <c r="AI81" s="41"/>
      <c r="AJ81" s="41"/>
      <c r="AK81" s="41"/>
      <c r="AO81"/>
      <c r="AP81"/>
      <c r="AQ81" s="585"/>
      <c r="AR81" s="586"/>
      <c r="AS81" s="586"/>
      <c r="AT81" s="586"/>
      <c r="AU81" s="586"/>
      <c r="AV81" s="586"/>
      <c r="AW81" s="586"/>
      <c r="AX81" s="586"/>
      <c r="AY81" s="586"/>
      <c r="AZ81" s="586"/>
      <c r="BA81" s="586"/>
      <c r="BB81" s="586"/>
      <c r="BC81" s="586"/>
      <c r="BD81" s="586"/>
      <c r="BE81" s="586"/>
      <c r="BF81" s="586"/>
      <c r="BG81" s="586"/>
      <c r="BH81" s="586"/>
      <c r="BI81" s="586"/>
      <c r="BJ81" s="586"/>
      <c r="BK81" s="586"/>
      <c r="BL81" s="586"/>
      <c r="BM81" s="586"/>
      <c r="BN81" s="586"/>
      <c r="BO81" s="586"/>
    </row>
    <row r="82" spans="1:67" ht="25.15" customHeight="1">
      <c r="A82" s="1063" t="s">
        <v>724</v>
      </c>
      <c r="B82" s="1134" t="str">
        <f>Zones!D14</f>
        <v>ResidentialLiving</v>
      </c>
      <c r="C82" s="1034" t="s">
        <v>706</v>
      </c>
      <c r="D82" s="1125" t="s">
        <v>725</v>
      </c>
      <c r="E82" s="502" t="s">
        <v>517</v>
      </c>
      <c r="F82" s="497">
        <v>0.9</v>
      </c>
      <c r="G82" s="497">
        <v>0.9</v>
      </c>
      <c r="H82" s="497">
        <v>0.9</v>
      </c>
      <c r="I82" s="497">
        <v>0.9</v>
      </c>
      <c r="J82" s="497">
        <v>0.9</v>
      </c>
      <c r="K82" s="497">
        <v>0.9</v>
      </c>
      <c r="L82" s="497">
        <v>0.7</v>
      </c>
      <c r="M82" s="497">
        <v>0.4</v>
      </c>
      <c r="N82" s="497">
        <v>0.4</v>
      </c>
      <c r="O82" s="497">
        <v>0.2</v>
      </c>
      <c r="P82" s="497">
        <v>0.2</v>
      </c>
      <c r="Q82" s="497">
        <v>0.2</v>
      </c>
      <c r="R82" s="497">
        <v>0.2</v>
      </c>
      <c r="S82" s="497">
        <v>0.2</v>
      </c>
      <c r="T82" s="497">
        <v>0.2</v>
      </c>
      <c r="U82" s="497">
        <v>0.3</v>
      </c>
      <c r="V82" s="497">
        <v>0.5</v>
      </c>
      <c r="W82" s="497">
        <v>0.5</v>
      </c>
      <c r="X82" s="497">
        <v>0.5</v>
      </c>
      <c r="Y82" s="497">
        <v>0.7</v>
      </c>
      <c r="Z82" s="497">
        <v>0.7</v>
      </c>
      <c r="AA82" s="497">
        <v>0.8</v>
      </c>
      <c r="AB82" s="497">
        <v>0.9</v>
      </c>
      <c r="AC82" s="498">
        <v>0.9</v>
      </c>
      <c r="AD82" s="41"/>
      <c r="AE82" s="41"/>
      <c r="AF82" s="41"/>
      <c r="AG82" s="41"/>
      <c r="AH82" s="41"/>
      <c r="AI82" s="41"/>
      <c r="AJ82" s="41"/>
      <c r="AK82" s="41"/>
      <c r="AO82"/>
      <c r="AP82"/>
      <c r="AQ82" s="585"/>
      <c r="AR82" s="586"/>
      <c r="AS82" s="586"/>
      <c r="AT82" s="586"/>
      <c r="AU82" s="586"/>
      <c r="AV82" s="586"/>
      <c r="AW82" s="586"/>
      <c r="AX82" s="586"/>
      <c r="AY82" s="586"/>
      <c r="AZ82" s="586"/>
      <c r="BA82" s="586"/>
      <c r="BB82" s="586"/>
      <c r="BC82" s="586"/>
      <c r="BD82" s="586"/>
      <c r="BE82" s="586"/>
      <c r="BF82" s="586"/>
      <c r="BG82" s="586"/>
      <c r="BH82" s="586"/>
      <c r="BI82" s="586"/>
      <c r="BJ82" s="586"/>
      <c r="BK82" s="586"/>
      <c r="BL82" s="586"/>
      <c r="BM82" s="586"/>
      <c r="BN82" s="586"/>
      <c r="BO82" s="586"/>
    </row>
    <row r="83" spans="1:67" ht="33" customHeight="1">
      <c r="A83" s="1058"/>
      <c r="B83" s="1003"/>
      <c r="C83" s="1003"/>
      <c r="D83" s="1126"/>
      <c r="E83" s="503" t="s">
        <v>524</v>
      </c>
      <c r="F83" s="496">
        <v>0.9</v>
      </c>
      <c r="G83" s="496">
        <v>0.9</v>
      </c>
      <c r="H83" s="496">
        <v>0.9</v>
      </c>
      <c r="I83" s="496">
        <v>0.9</v>
      </c>
      <c r="J83" s="496">
        <v>0.9</v>
      </c>
      <c r="K83" s="496">
        <v>0.9</v>
      </c>
      <c r="L83" s="496">
        <v>0.7</v>
      </c>
      <c r="M83" s="496">
        <v>0.4</v>
      </c>
      <c r="N83" s="496">
        <v>0.4</v>
      </c>
      <c r="O83" s="496">
        <v>0.2</v>
      </c>
      <c r="P83" s="496">
        <v>0.2</v>
      </c>
      <c r="Q83" s="496">
        <v>0.2</v>
      </c>
      <c r="R83" s="496">
        <v>0.2</v>
      </c>
      <c r="S83" s="496">
        <v>0.2</v>
      </c>
      <c r="T83" s="496">
        <v>0.2</v>
      </c>
      <c r="U83" s="496">
        <v>0.3</v>
      </c>
      <c r="V83" s="496">
        <v>0.5</v>
      </c>
      <c r="W83" s="496">
        <v>0.5</v>
      </c>
      <c r="X83" s="496">
        <v>0.5</v>
      </c>
      <c r="Y83" s="496">
        <v>0.7</v>
      </c>
      <c r="Z83" s="496">
        <v>0.7</v>
      </c>
      <c r="AA83" s="496">
        <v>0.8</v>
      </c>
      <c r="AB83" s="496">
        <v>0.9</v>
      </c>
      <c r="AC83" s="499">
        <v>0.9</v>
      </c>
      <c r="AD83" s="41"/>
      <c r="AE83" s="41"/>
      <c r="AF83" s="41"/>
      <c r="AG83" s="41"/>
      <c r="AH83" s="41"/>
      <c r="AI83" s="41"/>
      <c r="AJ83" s="41"/>
      <c r="AK83" s="41"/>
      <c r="AO83"/>
      <c r="AP83"/>
      <c r="AQ83" s="585"/>
      <c r="AR83" s="586"/>
      <c r="AS83" s="586"/>
      <c r="AT83" s="586"/>
      <c r="AU83" s="586"/>
      <c r="AV83" s="586"/>
      <c r="AW83" s="586"/>
      <c r="AX83" s="586"/>
      <c r="AY83" s="586"/>
      <c r="AZ83" s="586"/>
      <c r="BA83" s="586"/>
      <c r="BB83" s="586"/>
      <c r="BC83" s="586"/>
      <c r="BD83" s="586"/>
      <c r="BE83" s="586"/>
      <c r="BF83" s="586"/>
      <c r="BG83" s="586"/>
      <c r="BH83" s="586"/>
      <c r="BI83" s="586"/>
      <c r="BJ83" s="586"/>
      <c r="BK83" s="586"/>
      <c r="BL83" s="586"/>
      <c r="BM83" s="586"/>
      <c r="BN83" s="586"/>
      <c r="BO83" s="586"/>
    </row>
    <row r="84" spans="1:67" ht="33" customHeight="1" thickBot="1">
      <c r="A84" s="1059"/>
      <c r="B84" s="1036"/>
      <c r="C84" s="1036"/>
      <c r="D84" s="1138"/>
      <c r="E84" s="504" t="s">
        <v>526</v>
      </c>
      <c r="F84" s="500">
        <v>0.9</v>
      </c>
      <c r="G84" s="500">
        <v>0.9</v>
      </c>
      <c r="H84" s="500">
        <v>0.9</v>
      </c>
      <c r="I84" s="500">
        <v>0.9</v>
      </c>
      <c r="J84" s="500">
        <v>0.9</v>
      </c>
      <c r="K84" s="500">
        <v>0.9</v>
      </c>
      <c r="L84" s="500">
        <v>0.7</v>
      </c>
      <c r="M84" s="500">
        <v>0.4</v>
      </c>
      <c r="N84" s="500">
        <v>0.4</v>
      </c>
      <c r="O84" s="500">
        <v>0.2</v>
      </c>
      <c r="P84" s="500">
        <v>0.2</v>
      </c>
      <c r="Q84" s="500">
        <v>0.2</v>
      </c>
      <c r="R84" s="500">
        <v>0.2</v>
      </c>
      <c r="S84" s="500">
        <v>0.2</v>
      </c>
      <c r="T84" s="500">
        <v>0.2</v>
      </c>
      <c r="U84" s="500">
        <v>0.3</v>
      </c>
      <c r="V84" s="500">
        <v>0.5</v>
      </c>
      <c r="W84" s="500">
        <v>0.5</v>
      </c>
      <c r="X84" s="500">
        <v>0.5</v>
      </c>
      <c r="Y84" s="500">
        <v>0.7</v>
      </c>
      <c r="Z84" s="500">
        <v>0.7</v>
      </c>
      <c r="AA84" s="500">
        <v>0.8</v>
      </c>
      <c r="AB84" s="500">
        <v>0.9</v>
      </c>
      <c r="AC84" s="501">
        <v>0.9</v>
      </c>
      <c r="AD84" s="41"/>
      <c r="AE84" s="41"/>
      <c r="AF84" s="41"/>
      <c r="AG84" s="41"/>
      <c r="AH84" s="41"/>
      <c r="AI84" s="41"/>
      <c r="AJ84" s="41"/>
      <c r="AK84" s="41"/>
    </row>
    <row r="85" spans="1:67" ht="38.65" customHeight="1">
      <c r="A85" s="1063" t="str">
        <f>A82</f>
        <v>Guest Rooms</v>
      </c>
      <c r="B85" s="1034" t="str">
        <f>B82</f>
        <v>ResidentialLiving</v>
      </c>
      <c r="C85" s="1034" t="s">
        <v>708</v>
      </c>
      <c r="D85" s="1125" t="s">
        <v>725</v>
      </c>
      <c r="E85" s="502" t="s">
        <v>517</v>
      </c>
      <c r="F85" s="497">
        <v>0.1</v>
      </c>
      <c r="G85" s="497">
        <v>0.1</v>
      </c>
      <c r="H85" s="497">
        <v>0.1</v>
      </c>
      <c r="I85" s="497">
        <v>0.1</v>
      </c>
      <c r="J85" s="497">
        <v>0.1</v>
      </c>
      <c r="K85" s="497">
        <v>0.3</v>
      </c>
      <c r="L85" s="497">
        <v>0.45</v>
      </c>
      <c r="M85" s="497">
        <v>0.45</v>
      </c>
      <c r="N85" s="497">
        <v>0.45</v>
      </c>
      <c r="O85" s="497">
        <v>0.45</v>
      </c>
      <c r="P85" s="497">
        <v>0.3</v>
      </c>
      <c r="Q85" s="497">
        <v>0.3</v>
      </c>
      <c r="R85" s="497">
        <v>0.3</v>
      </c>
      <c r="S85" s="497">
        <v>0.3</v>
      </c>
      <c r="T85" s="497">
        <v>0.3</v>
      </c>
      <c r="U85" s="497">
        <v>0.3</v>
      </c>
      <c r="V85" s="497">
        <v>0.3</v>
      </c>
      <c r="W85" s="497">
        <v>0.3</v>
      </c>
      <c r="X85" s="497">
        <v>0.6</v>
      </c>
      <c r="Y85" s="497">
        <v>0.8</v>
      </c>
      <c r="Z85" s="497">
        <v>0.9</v>
      </c>
      <c r="AA85" s="497">
        <v>0.8</v>
      </c>
      <c r="AB85" s="497">
        <v>0.6</v>
      </c>
      <c r="AC85" s="498">
        <v>0.3</v>
      </c>
      <c r="AD85" s="41"/>
      <c r="AE85" s="41"/>
      <c r="AF85" s="41"/>
      <c r="AG85" s="41"/>
      <c r="AH85" s="41"/>
      <c r="AI85" s="41"/>
      <c r="AJ85" s="41"/>
      <c r="AK85" s="41"/>
      <c r="AM85" s="52"/>
    </row>
    <row r="86" spans="1:67" ht="38.65" customHeight="1">
      <c r="A86" s="1058"/>
      <c r="B86" s="1003"/>
      <c r="C86" s="1003"/>
      <c r="D86" s="1126"/>
      <c r="E86" s="503" t="s">
        <v>524</v>
      </c>
      <c r="F86" s="496">
        <v>0.1</v>
      </c>
      <c r="G86" s="496">
        <v>0.1</v>
      </c>
      <c r="H86" s="496">
        <v>0.1</v>
      </c>
      <c r="I86" s="496">
        <v>0.1</v>
      </c>
      <c r="J86" s="496">
        <v>0.1</v>
      </c>
      <c r="K86" s="496">
        <v>0.3</v>
      </c>
      <c r="L86" s="496">
        <v>0.45</v>
      </c>
      <c r="M86" s="496">
        <v>0.45</v>
      </c>
      <c r="N86" s="496">
        <v>0.45</v>
      </c>
      <c r="O86" s="496">
        <v>0.45</v>
      </c>
      <c r="P86" s="496">
        <v>0.3</v>
      </c>
      <c r="Q86" s="496">
        <v>0.3</v>
      </c>
      <c r="R86" s="496">
        <v>0.3</v>
      </c>
      <c r="S86" s="496">
        <v>0.3</v>
      </c>
      <c r="T86" s="496">
        <v>0.3</v>
      </c>
      <c r="U86" s="496">
        <v>0.3</v>
      </c>
      <c r="V86" s="496">
        <v>0.3</v>
      </c>
      <c r="W86" s="496">
        <v>0.3</v>
      </c>
      <c r="X86" s="496">
        <v>0.6</v>
      </c>
      <c r="Y86" s="496">
        <v>0.8</v>
      </c>
      <c r="Z86" s="496">
        <v>0.9</v>
      </c>
      <c r="AA86" s="496">
        <v>0.8</v>
      </c>
      <c r="AB86" s="496">
        <v>0.6</v>
      </c>
      <c r="AC86" s="499">
        <v>0.3</v>
      </c>
      <c r="AD86" s="41"/>
      <c r="AE86" s="41"/>
      <c r="AF86" s="41"/>
      <c r="AG86" s="41"/>
      <c r="AH86" s="41"/>
      <c r="AI86" s="41"/>
      <c r="AJ86" s="41"/>
      <c r="AK86" s="41"/>
      <c r="AM86" s="52"/>
    </row>
    <row r="87" spans="1:67" ht="38.65" customHeight="1" thickBot="1">
      <c r="A87" s="1059"/>
      <c r="B87" s="1036"/>
      <c r="C87" s="1036"/>
      <c r="D87" s="1138"/>
      <c r="E87" s="504" t="s">
        <v>526</v>
      </c>
      <c r="F87" s="500">
        <v>0.1</v>
      </c>
      <c r="G87" s="500">
        <v>0.1</v>
      </c>
      <c r="H87" s="500">
        <v>0.1</v>
      </c>
      <c r="I87" s="500">
        <v>0.1</v>
      </c>
      <c r="J87" s="500">
        <v>0.1</v>
      </c>
      <c r="K87" s="500">
        <v>0.3</v>
      </c>
      <c r="L87" s="500">
        <v>0.45</v>
      </c>
      <c r="M87" s="500">
        <v>0.45</v>
      </c>
      <c r="N87" s="500">
        <v>0.45</v>
      </c>
      <c r="O87" s="500">
        <v>0.45</v>
      </c>
      <c r="P87" s="500">
        <v>0.3</v>
      </c>
      <c r="Q87" s="500">
        <v>0.3</v>
      </c>
      <c r="R87" s="500">
        <v>0.3</v>
      </c>
      <c r="S87" s="500">
        <v>0.3</v>
      </c>
      <c r="T87" s="500">
        <v>0.3</v>
      </c>
      <c r="U87" s="500">
        <v>0.3</v>
      </c>
      <c r="V87" s="500">
        <v>0.3</v>
      </c>
      <c r="W87" s="500">
        <v>0.3</v>
      </c>
      <c r="X87" s="500">
        <v>0.6</v>
      </c>
      <c r="Y87" s="500">
        <v>0.8</v>
      </c>
      <c r="Z87" s="500">
        <v>0.9</v>
      </c>
      <c r="AA87" s="500">
        <v>0.8</v>
      </c>
      <c r="AB87" s="500">
        <v>0.6</v>
      </c>
      <c r="AC87" s="501">
        <v>0.3</v>
      </c>
      <c r="AD87" s="41"/>
      <c r="AE87" s="41"/>
      <c r="AF87" s="41"/>
      <c r="AG87" s="41"/>
      <c r="AH87" s="41"/>
      <c r="AI87" s="41"/>
      <c r="AJ87" s="41"/>
      <c r="AK87" s="41"/>
      <c r="AM87" s="52"/>
    </row>
    <row r="88" spans="1:67" ht="32.450000000000003" customHeight="1">
      <c r="A88" s="1063" t="str">
        <f t="shared" ref="A88:B88" si="17">A85</f>
        <v>Guest Rooms</v>
      </c>
      <c r="B88" s="1034" t="str">
        <f t="shared" si="17"/>
        <v>ResidentialLiving</v>
      </c>
      <c r="C88" s="1034" t="s">
        <v>710</v>
      </c>
      <c r="D88" s="1177" t="s">
        <v>667</v>
      </c>
      <c r="E88" s="505" t="s">
        <v>517</v>
      </c>
      <c r="F88" s="518">
        <v>0.1</v>
      </c>
      <c r="G88" s="518">
        <v>0.1</v>
      </c>
      <c r="H88" s="518">
        <v>0.1</v>
      </c>
      <c r="I88" s="518">
        <v>0.1</v>
      </c>
      <c r="J88" s="518">
        <v>0.1</v>
      </c>
      <c r="K88" s="518">
        <v>0.3</v>
      </c>
      <c r="L88" s="518">
        <v>0.45</v>
      </c>
      <c r="M88" s="518">
        <v>0.45</v>
      </c>
      <c r="N88" s="518">
        <v>0.45</v>
      </c>
      <c r="O88" s="518">
        <v>0.45</v>
      </c>
      <c r="P88" s="518">
        <v>0.2</v>
      </c>
      <c r="Q88" s="518">
        <v>0.2</v>
      </c>
      <c r="R88" s="518">
        <v>0.2</v>
      </c>
      <c r="S88" s="518">
        <v>0.2</v>
      </c>
      <c r="T88" s="518">
        <v>0.2</v>
      </c>
      <c r="U88" s="518">
        <v>0.2</v>
      </c>
      <c r="V88" s="518">
        <v>0.2</v>
      </c>
      <c r="W88" s="518">
        <v>0.2</v>
      </c>
      <c r="X88" s="518">
        <v>0.4</v>
      </c>
      <c r="Y88" s="518">
        <v>0.5</v>
      </c>
      <c r="Z88" s="518">
        <v>0.6</v>
      </c>
      <c r="AA88" s="518">
        <v>0.5</v>
      </c>
      <c r="AB88" s="518">
        <v>0.4</v>
      </c>
      <c r="AC88" s="519">
        <v>0.25</v>
      </c>
      <c r="AD88" s="41"/>
      <c r="AE88" s="41"/>
      <c r="AF88" s="41"/>
      <c r="AG88" s="41"/>
      <c r="AH88" s="41"/>
      <c r="AI88" s="41"/>
      <c r="AJ88" s="41"/>
      <c r="AK88" s="41"/>
    </row>
    <row r="89" spans="1:67" ht="33" customHeight="1">
      <c r="A89" s="1058"/>
      <c r="B89" s="1003"/>
      <c r="C89" s="1003"/>
      <c r="D89" s="1145"/>
      <c r="E89" s="503" t="s">
        <v>524</v>
      </c>
      <c r="F89" s="496">
        <f>F88</f>
        <v>0.1</v>
      </c>
      <c r="G89" s="496">
        <f t="shared" ref="G89:AC89" si="18">G88</f>
        <v>0.1</v>
      </c>
      <c r="H89" s="496">
        <f t="shared" si="18"/>
        <v>0.1</v>
      </c>
      <c r="I89" s="496">
        <f t="shared" si="18"/>
        <v>0.1</v>
      </c>
      <c r="J89" s="496">
        <f t="shared" si="18"/>
        <v>0.1</v>
      </c>
      <c r="K89" s="496">
        <f t="shared" si="18"/>
        <v>0.3</v>
      </c>
      <c r="L89" s="496">
        <f t="shared" si="18"/>
        <v>0.45</v>
      </c>
      <c r="M89" s="496">
        <f t="shared" si="18"/>
        <v>0.45</v>
      </c>
      <c r="N89" s="496">
        <f t="shared" si="18"/>
        <v>0.45</v>
      </c>
      <c r="O89" s="496">
        <f t="shared" si="18"/>
        <v>0.45</v>
      </c>
      <c r="P89" s="496">
        <f t="shared" si="18"/>
        <v>0.2</v>
      </c>
      <c r="Q89" s="496">
        <f t="shared" si="18"/>
        <v>0.2</v>
      </c>
      <c r="R89" s="496">
        <f t="shared" si="18"/>
        <v>0.2</v>
      </c>
      <c r="S89" s="496">
        <f t="shared" si="18"/>
        <v>0.2</v>
      </c>
      <c r="T89" s="496">
        <f t="shared" si="18"/>
        <v>0.2</v>
      </c>
      <c r="U89" s="496">
        <f t="shared" si="18"/>
        <v>0.2</v>
      </c>
      <c r="V89" s="496">
        <f t="shared" si="18"/>
        <v>0.2</v>
      </c>
      <c r="W89" s="496">
        <f t="shared" si="18"/>
        <v>0.2</v>
      </c>
      <c r="X89" s="496">
        <f t="shared" si="18"/>
        <v>0.4</v>
      </c>
      <c r="Y89" s="496">
        <f t="shared" si="18"/>
        <v>0.5</v>
      </c>
      <c r="Z89" s="496">
        <f t="shared" si="18"/>
        <v>0.6</v>
      </c>
      <c r="AA89" s="496">
        <f t="shared" si="18"/>
        <v>0.5</v>
      </c>
      <c r="AB89" s="496">
        <f t="shared" si="18"/>
        <v>0.4</v>
      </c>
      <c r="AC89" s="499">
        <f t="shared" si="18"/>
        <v>0.25</v>
      </c>
      <c r="AD89" s="41"/>
      <c r="AE89" s="41"/>
      <c r="AF89" s="41"/>
      <c r="AG89" s="41"/>
      <c r="AH89" s="41"/>
      <c r="AI89" s="41"/>
      <c r="AJ89" s="41"/>
      <c r="AK89" s="41"/>
    </row>
    <row r="90" spans="1:67" ht="33" customHeight="1" thickBot="1">
      <c r="A90" s="1059"/>
      <c r="B90" s="1036"/>
      <c r="C90" s="1030"/>
      <c r="D90" s="1178"/>
      <c r="E90" s="517" t="s">
        <v>526</v>
      </c>
      <c r="F90" s="520">
        <f>F88</f>
        <v>0.1</v>
      </c>
      <c r="G90" s="520">
        <f t="shared" ref="G90:AC90" si="19">G88</f>
        <v>0.1</v>
      </c>
      <c r="H90" s="520">
        <f t="shared" si="19"/>
        <v>0.1</v>
      </c>
      <c r="I90" s="520">
        <f t="shared" si="19"/>
        <v>0.1</v>
      </c>
      <c r="J90" s="520">
        <f t="shared" si="19"/>
        <v>0.1</v>
      </c>
      <c r="K90" s="520">
        <f t="shared" si="19"/>
        <v>0.3</v>
      </c>
      <c r="L90" s="520">
        <f t="shared" si="19"/>
        <v>0.45</v>
      </c>
      <c r="M90" s="520">
        <f t="shared" si="19"/>
        <v>0.45</v>
      </c>
      <c r="N90" s="520">
        <f t="shared" si="19"/>
        <v>0.45</v>
      </c>
      <c r="O90" s="520">
        <f t="shared" si="19"/>
        <v>0.45</v>
      </c>
      <c r="P90" s="520">
        <f t="shared" si="19"/>
        <v>0.2</v>
      </c>
      <c r="Q90" s="520">
        <f t="shared" si="19"/>
        <v>0.2</v>
      </c>
      <c r="R90" s="520">
        <f t="shared" si="19"/>
        <v>0.2</v>
      </c>
      <c r="S90" s="520">
        <f t="shared" si="19"/>
        <v>0.2</v>
      </c>
      <c r="T90" s="520">
        <f t="shared" si="19"/>
        <v>0.2</v>
      </c>
      <c r="U90" s="520">
        <f t="shared" si="19"/>
        <v>0.2</v>
      </c>
      <c r="V90" s="520">
        <f t="shared" si="19"/>
        <v>0.2</v>
      </c>
      <c r="W90" s="520">
        <f t="shared" si="19"/>
        <v>0.2</v>
      </c>
      <c r="X90" s="520">
        <f t="shared" si="19"/>
        <v>0.4</v>
      </c>
      <c r="Y90" s="520">
        <f t="shared" si="19"/>
        <v>0.5</v>
      </c>
      <c r="Z90" s="520">
        <f t="shared" si="19"/>
        <v>0.6</v>
      </c>
      <c r="AA90" s="520">
        <f t="shared" si="19"/>
        <v>0.5</v>
      </c>
      <c r="AB90" s="520">
        <f t="shared" si="19"/>
        <v>0.4</v>
      </c>
      <c r="AC90" s="521">
        <f t="shared" si="19"/>
        <v>0.25</v>
      </c>
      <c r="AD90" s="41"/>
      <c r="AE90" s="41"/>
      <c r="AF90" s="41"/>
      <c r="AG90" s="41"/>
      <c r="AH90" s="41"/>
      <c r="AI90" s="41"/>
      <c r="AJ90" s="41"/>
      <c r="AK90" s="41"/>
      <c r="AO90"/>
      <c r="AP90"/>
      <c r="AQ90" s="585"/>
      <c r="AR90" s="586"/>
      <c r="AS90" s="586"/>
      <c r="AT90" s="586"/>
      <c r="AU90" s="586"/>
      <c r="AV90" s="586"/>
      <c r="AW90" s="586"/>
      <c r="AX90" s="586"/>
      <c r="AY90" s="586"/>
      <c r="AZ90" s="586"/>
      <c r="BA90" s="586"/>
      <c r="BB90" s="586"/>
      <c r="BC90" s="586"/>
      <c r="BD90" s="586"/>
      <c r="BE90" s="586"/>
      <c r="BF90" s="586"/>
      <c r="BG90" s="586"/>
      <c r="BH90" s="586"/>
      <c r="BI90" s="586"/>
      <c r="BJ90" s="586"/>
      <c r="BK90" s="586"/>
      <c r="BL90" s="586"/>
      <c r="BM90" s="586"/>
      <c r="BN90" s="586"/>
      <c r="BO90" s="586"/>
    </row>
    <row r="91" spans="1:67" ht="34.15" customHeight="1">
      <c r="A91" s="1063" t="str">
        <f t="shared" ref="A91:B91" si="20">A88</f>
        <v>Guest Rooms</v>
      </c>
      <c r="B91" s="1034" t="str">
        <f t="shared" si="20"/>
        <v>ResidentialLiving</v>
      </c>
      <c r="C91" s="1034" t="s">
        <v>711</v>
      </c>
      <c r="D91" s="1125" t="s">
        <v>725</v>
      </c>
      <c r="E91" s="502" t="s">
        <v>517</v>
      </c>
      <c r="F91" s="497">
        <v>1</v>
      </c>
      <c r="G91" s="497">
        <v>1</v>
      </c>
      <c r="H91" s="497">
        <v>1</v>
      </c>
      <c r="I91" s="497">
        <v>1</v>
      </c>
      <c r="J91" s="497">
        <v>1</v>
      </c>
      <c r="K91" s="497">
        <v>1</v>
      </c>
      <c r="L91" s="497">
        <v>1</v>
      </c>
      <c r="M91" s="497">
        <v>1</v>
      </c>
      <c r="N91" s="497">
        <v>1</v>
      </c>
      <c r="O91" s="497">
        <v>1</v>
      </c>
      <c r="P91" s="497">
        <v>1</v>
      </c>
      <c r="Q91" s="497">
        <v>1</v>
      </c>
      <c r="R91" s="497">
        <v>1</v>
      </c>
      <c r="S91" s="497">
        <v>1</v>
      </c>
      <c r="T91" s="497">
        <v>1</v>
      </c>
      <c r="U91" s="497">
        <v>1</v>
      </c>
      <c r="V91" s="497">
        <v>1</v>
      </c>
      <c r="W91" s="497">
        <v>1</v>
      </c>
      <c r="X91" s="497">
        <v>1</v>
      </c>
      <c r="Y91" s="497">
        <v>1</v>
      </c>
      <c r="Z91" s="497">
        <v>1</v>
      </c>
      <c r="AA91" s="497">
        <v>1</v>
      </c>
      <c r="AB91" s="497">
        <v>1</v>
      </c>
      <c r="AC91" s="498">
        <v>1</v>
      </c>
      <c r="AD91" s="41"/>
      <c r="AE91" s="41"/>
      <c r="AF91" s="41"/>
      <c r="AG91" s="41"/>
      <c r="AH91" s="41"/>
      <c r="AI91" s="41"/>
      <c r="AJ91" s="41"/>
      <c r="AK91" s="41"/>
      <c r="AM91" s="52"/>
      <c r="AO91"/>
      <c r="AP91"/>
      <c r="AQ91" s="585"/>
      <c r="AR91" s="586"/>
      <c r="AS91" s="586"/>
      <c r="AT91" s="586"/>
      <c r="AU91" s="586"/>
      <c r="AV91" s="586"/>
      <c r="AW91" s="586"/>
      <c r="AX91" s="586"/>
      <c r="AY91" s="586"/>
      <c r="AZ91" s="586"/>
      <c r="BA91" s="586"/>
      <c r="BB91" s="586"/>
      <c r="BC91" s="586"/>
      <c r="BD91" s="586"/>
      <c r="BE91" s="586"/>
      <c r="BF91" s="586"/>
      <c r="BG91" s="586"/>
      <c r="BH91" s="586"/>
      <c r="BI91" s="586"/>
      <c r="BJ91" s="586"/>
      <c r="BK91" s="586"/>
      <c r="BL91" s="586"/>
      <c r="BM91" s="586"/>
      <c r="BN91" s="586"/>
      <c r="BO91" s="586"/>
    </row>
    <row r="92" spans="1:67" ht="31.9" customHeight="1">
      <c r="A92" s="1058"/>
      <c r="B92" s="1003"/>
      <c r="C92" s="1003"/>
      <c r="D92" s="1126"/>
      <c r="E92" s="503" t="s">
        <v>524</v>
      </c>
      <c r="F92" s="496">
        <v>1</v>
      </c>
      <c r="G92" s="496">
        <v>1</v>
      </c>
      <c r="H92" s="496">
        <v>1</v>
      </c>
      <c r="I92" s="496">
        <v>1</v>
      </c>
      <c r="J92" s="496">
        <v>1</v>
      </c>
      <c r="K92" s="496">
        <v>1</v>
      </c>
      <c r="L92" s="496">
        <v>1</v>
      </c>
      <c r="M92" s="496">
        <v>1</v>
      </c>
      <c r="N92" s="496">
        <v>1</v>
      </c>
      <c r="O92" s="496">
        <v>1</v>
      </c>
      <c r="P92" s="496">
        <v>1</v>
      </c>
      <c r="Q92" s="496">
        <v>1</v>
      </c>
      <c r="R92" s="496">
        <v>1</v>
      </c>
      <c r="S92" s="496">
        <v>1</v>
      </c>
      <c r="T92" s="496">
        <v>1</v>
      </c>
      <c r="U92" s="496">
        <v>1</v>
      </c>
      <c r="V92" s="496">
        <v>1</v>
      </c>
      <c r="W92" s="496">
        <v>1</v>
      </c>
      <c r="X92" s="496">
        <v>1</v>
      </c>
      <c r="Y92" s="496">
        <v>1</v>
      </c>
      <c r="Z92" s="496">
        <v>1</v>
      </c>
      <c r="AA92" s="496">
        <v>1</v>
      </c>
      <c r="AB92" s="496">
        <v>1</v>
      </c>
      <c r="AC92" s="499">
        <v>1</v>
      </c>
      <c r="AD92" s="41"/>
      <c r="AE92" s="41"/>
      <c r="AF92" s="41"/>
      <c r="AG92" s="41"/>
      <c r="AH92" s="41"/>
      <c r="AI92" s="41"/>
      <c r="AJ92" s="41"/>
      <c r="AK92" s="41"/>
      <c r="AM92" s="52"/>
      <c r="AO92"/>
      <c r="AP92"/>
      <c r="AQ92" s="585"/>
      <c r="AR92" s="586"/>
      <c r="AS92" s="586"/>
      <c r="AT92" s="586"/>
      <c r="AU92" s="586"/>
      <c r="AV92" s="586"/>
      <c r="AW92" s="586"/>
      <c r="AX92" s="586"/>
      <c r="AY92" s="586"/>
      <c r="AZ92" s="586"/>
      <c r="BA92" s="586"/>
      <c r="BB92" s="586"/>
      <c r="BC92" s="586"/>
      <c r="BD92" s="586"/>
      <c r="BE92" s="586"/>
      <c r="BF92" s="586"/>
      <c r="BG92" s="586"/>
      <c r="BH92" s="586"/>
      <c r="BI92" s="586"/>
      <c r="BJ92" s="586"/>
      <c r="BK92" s="586"/>
      <c r="BL92" s="586"/>
      <c r="BM92" s="586"/>
      <c r="BN92" s="586"/>
      <c r="BO92" s="586"/>
    </row>
    <row r="93" spans="1:67" ht="33.6" customHeight="1" thickBot="1">
      <c r="A93" s="1059"/>
      <c r="B93" s="1036"/>
      <c r="C93" s="1036"/>
      <c r="D93" s="1138"/>
      <c r="E93" s="504" t="s">
        <v>526</v>
      </c>
      <c r="F93" s="500">
        <v>1</v>
      </c>
      <c r="G93" s="500">
        <v>1</v>
      </c>
      <c r="H93" s="500">
        <v>1</v>
      </c>
      <c r="I93" s="500">
        <v>1</v>
      </c>
      <c r="J93" s="500">
        <v>1</v>
      </c>
      <c r="K93" s="500">
        <v>1</v>
      </c>
      <c r="L93" s="500">
        <v>1</v>
      </c>
      <c r="M93" s="500">
        <v>1</v>
      </c>
      <c r="N93" s="500">
        <v>1</v>
      </c>
      <c r="O93" s="500">
        <v>1</v>
      </c>
      <c r="P93" s="500">
        <v>1</v>
      </c>
      <c r="Q93" s="500">
        <v>1</v>
      </c>
      <c r="R93" s="500">
        <v>1</v>
      </c>
      <c r="S93" s="500">
        <v>1</v>
      </c>
      <c r="T93" s="500">
        <v>1</v>
      </c>
      <c r="U93" s="500">
        <v>1</v>
      </c>
      <c r="V93" s="500">
        <v>1</v>
      </c>
      <c r="W93" s="500">
        <v>1</v>
      </c>
      <c r="X93" s="500">
        <v>1</v>
      </c>
      <c r="Y93" s="500">
        <v>1</v>
      </c>
      <c r="Z93" s="500">
        <v>1</v>
      </c>
      <c r="AA93" s="500">
        <v>1</v>
      </c>
      <c r="AB93" s="500">
        <v>1</v>
      </c>
      <c r="AC93" s="501">
        <v>1</v>
      </c>
      <c r="AD93" s="41"/>
      <c r="AE93" s="41"/>
      <c r="AF93" s="41"/>
      <c r="AG93" s="41"/>
      <c r="AH93" s="41"/>
      <c r="AI93" s="41"/>
      <c r="AJ93" s="41"/>
      <c r="AK93" s="41"/>
      <c r="AM93" s="52"/>
      <c r="AO93"/>
      <c r="AP93"/>
      <c r="AQ93" s="585"/>
      <c r="AR93" s="586"/>
      <c r="AS93" s="586"/>
      <c r="AT93" s="586"/>
      <c r="AU93" s="586"/>
      <c r="AV93" s="586"/>
      <c r="AW93" s="586"/>
      <c r="AX93" s="586"/>
      <c r="AY93" s="586"/>
      <c r="AZ93" s="586"/>
      <c r="BA93" s="586"/>
      <c r="BB93" s="586"/>
      <c r="BC93" s="586"/>
      <c r="BD93" s="586"/>
      <c r="BE93" s="586"/>
      <c r="BF93" s="586"/>
      <c r="BG93" s="586"/>
      <c r="BH93" s="586"/>
      <c r="BI93" s="586"/>
      <c r="BJ93" s="586"/>
      <c r="BK93" s="586"/>
      <c r="BL93" s="586"/>
      <c r="BM93" s="586"/>
      <c r="BN93" s="586"/>
      <c r="BO93" s="586"/>
    </row>
    <row r="94" spans="1:67" ht="37.9" customHeight="1">
      <c r="A94" s="1063" t="str">
        <f t="shared" ref="A94:B94" si="21">A91</f>
        <v>Guest Rooms</v>
      </c>
      <c r="B94" s="1034" t="str">
        <f t="shared" si="21"/>
        <v>ResidentialLiving</v>
      </c>
      <c r="C94" s="1029" t="s">
        <v>713</v>
      </c>
      <c r="D94" s="1125" t="s">
        <v>725</v>
      </c>
      <c r="E94" s="505" t="s">
        <v>517</v>
      </c>
      <c r="F94" s="518">
        <v>0.13100000000000001</v>
      </c>
      <c r="G94" s="518">
        <v>7.4999999999999997E-2</v>
      </c>
      <c r="H94" s="518">
        <v>8.4000000000000005E-2</v>
      </c>
      <c r="I94" s="518">
        <v>0.10299999999999999</v>
      </c>
      <c r="J94" s="518">
        <v>0.187</v>
      </c>
      <c r="K94" s="518">
        <v>0.41099999999999998</v>
      </c>
      <c r="L94" s="518">
        <v>0.83199999999999996</v>
      </c>
      <c r="M94" s="518">
        <v>1</v>
      </c>
      <c r="N94" s="518">
        <v>0.83199999999999996</v>
      </c>
      <c r="O94" s="518">
        <v>0.61699999999999999</v>
      </c>
      <c r="P94" s="518">
        <v>0.48599999999999999</v>
      </c>
      <c r="Q94" s="518">
        <v>0.35499999999999998</v>
      </c>
      <c r="R94" s="518">
        <v>0.33600000000000002</v>
      </c>
      <c r="S94" s="518">
        <v>0.308</v>
      </c>
      <c r="T94" s="518">
        <v>0.29899999999999999</v>
      </c>
      <c r="U94" s="518">
        <v>0.24299999999999999</v>
      </c>
      <c r="V94" s="518">
        <v>0.39300000000000002</v>
      </c>
      <c r="W94" s="518">
        <v>0.44900000000000001</v>
      </c>
      <c r="X94" s="518">
        <v>0.48599999999999999</v>
      </c>
      <c r="Y94" s="518">
        <v>0.439</v>
      </c>
      <c r="Z94" s="518">
        <v>0.39300000000000002</v>
      </c>
      <c r="AA94" s="518">
        <v>0.36399999999999999</v>
      </c>
      <c r="AB94" s="518">
        <v>0.33600000000000002</v>
      </c>
      <c r="AC94" s="519">
        <v>0.20599999999999999</v>
      </c>
      <c r="AD94" s="41"/>
      <c r="AE94" s="41"/>
      <c r="AF94" s="41"/>
      <c r="AG94" s="41"/>
      <c r="AH94" s="41"/>
      <c r="AI94" s="41"/>
      <c r="AJ94" s="41"/>
      <c r="AK94" s="41"/>
      <c r="AO94"/>
      <c r="AP94"/>
      <c r="AQ94" s="585"/>
      <c r="AR94" s="586"/>
      <c r="AS94" s="586"/>
      <c r="AT94" s="586"/>
      <c r="AU94" s="586"/>
      <c r="AV94" s="586"/>
      <c r="AW94" s="586"/>
      <c r="AX94" s="586"/>
      <c r="AY94" s="586"/>
      <c r="AZ94" s="586"/>
      <c r="BA94" s="586"/>
      <c r="BB94" s="586"/>
      <c r="BC94" s="586"/>
      <c r="BD94" s="586"/>
      <c r="BE94" s="586"/>
      <c r="BF94" s="586"/>
      <c r="BG94" s="586"/>
      <c r="BH94" s="586"/>
      <c r="BI94" s="586"/>
      <c r="BJ94" s="586"/>
      <c r="BK94" s="586"/>
      <c r="BL94" s="586"/>
      <c r="BM94" s="586"/>
      <c r="BN94" s="586"/>
      <c r="BO94" s="586"/>
    </row>
    <row r="95" spans="1:67" ht="33" customHeight="1">
      <c r="A95" s="1058"/>
      <c r="B95" s="1003"/>
      <c r="C95" s="1003"/>
      <c r="D95" s="1126"/>
      <c r="E95" s="503" t="s">
        <v>524</v>
      </c>
      <c r="F95" s="496">
        <v>0.217</v>
      </c>
      <c r="G95" s="496">
        <v>0.12</v>
      </c>
      <c r="H95" s="496">
        <v>0.108</v>
      </c>
      <c r="I95" s="496">
        <v>9.6000000000000002E-2</v>
      </c>
      <c r="J95" s="496">
        <v>0.18099999999999999</v>
      </c>
      <c r="K95" s="496">
        <v>0.27700000000000002</v>
      </c>
      <c r="L95" s="496">
        <v>0.313</v>
      </c>
      <c r="M95" s="496">
        <v>0.56599999999999995</v>
      </c>
      <c r="N95" s="496">
        <v>0.92800000000000005</v>
      </c>
      <c r="O95" s="496">
        <v>1</v>
      </c>
      <c r="P95" s="496">
        <v>0.89200000000000002</v>
      </c>
      <c r="Q95" s="496">
        <v>0.73499999999999999</v>
      </c>
      <c r="R95" s="496">
        <v>0.61399999999999999</v>
      </c>
      <c r="S95" s="496">
        <v>0.51800000000000002</v>
      </c>
      <c r="T95" s="496">
        <v>0.47</v>
      </c>
      <c r="U95" s="496">
        <v>0.47</v>
      </c>
      <c r="V95" s="496">
        <v>0.627</v>
      </c>
      <c r="W95" s="496">
        <v>0.69899999999999995</v>
      </c>
      <c r="X95" s="496">
        <v>0.67500000000000004</v>
      </c>
      <c r="Y95" s="496">
        <v>0.627</v>
      </c>
      <c r="Z95" s="496">
        <v>0.56599999999999995</v>
      </c>
      <c r="AA95" s="496">
        <v>0.53</v>
      </c>
      <c r="AB95" s="496">
        <v>0.48199999999999998</v>
      </c>
      <c r="AC95" s="499">
        <v>0.33700000000000002</v>
      </c>
      <c r="AD95" s="41"/>
      <c r="AE95" s="41"/>
      <c r="AF95" s="41"/>
      <c r="AG95" s="41"/>
      <c r="AH95" s="41"/>
      <c r="AI95" s="41"/>
      <c r="AJ95" s="41"/>
      <c r="AK95" s="41"/>
      <c r="AO95"/>
      <c r="AP95"/>
      <c r="AQ95" s="585"/>
      <c r="AR95" s="586"/>
      <c r="AS95" s="586"/>
      <c r="AT95" s="586"/>
      <c r="AU95" s="586"/>
      <c r="AV95" s="586"/>
      <c r="AW95" s="586"/>
      <c r="AX95" s="586"/>
      <c r="AY95" s="586"/>
      <c r="AZ95" s="586"/>
      <c r="BA95" s="586"/>
      <c r="BB95" s="586"/>
      <c r="BC95" s="586"/>
      <c r="BD95" s="586"/>
      <c r="BE95" s="586"/>
      <c r="BF95" s="586"/>
      <c r="BG95" s="586"/>
      <c r="BH95" s="586"/>
      <c r="BI95" s="586"/>
      <c r="BJ95" s="586"/>
      <c r="BK95" s="586"/>
      <c r="BL95" s="586"/>
      <c r="BM95" s="586"/>
      <c r="BN95" s="586"/>
      <c r="BO95" s="586"/>
    </row>
    <row r="96" spans="1:67" ht="33" customHeight="1" thickBot="1">
      <c r="A96" s="1059"/>
      <c r="B96" s="1036"/>
      <c r="C96" s="1030"/>
      <c r="D96" s="1138"/>
      <c r="E96" s="517" t="s">
        <v>526</v>
      </c>
      <c r="F96" s="520">
        <v>0.217</v>
      </c>
      <c r="G96" s="520">
        <v>0.12</v>
      </c>
      <c r="H96" s="520">
        <v>0.108</v>
      </c>
      <c r="I96" s="520">
        <v>9.6000000000000002E-2</v>
      </c>
      <c r="J96" s="520">
        <v>0.18099999999999999</v>
      </c>
      <c r="K96" s="520">
        <v>0.27700000000000002</v>
      </c>
      <c r="L96" s="520">
        <v>0.313</v>
      </c>
      <c r="M96" s="520">
        <v>0.56599999999999995</v>
      </c>
      <c r="N96" s="520">
        <v>0.92800000000000005</v>
      </c>
      <c r="O96" s="520">
        <v>1</v>
      </c>
      <c r="P96" s="520">
        <v>0.89200000000000002</v>
      </c>
      <c r="Q96" s="520">
        <v>0.73499999999999999</v>
      </c>
      <c r="R96" s="520">
        <v>0.61399999999999999</v>
      </c>
      <c r="S96" s="520">
        <v>0.51800000000000002</v>
      </c>
      <c r="T96" s="520">
        <v>0.47</v>
      </c>
      <c r="U96" s="520">
        <v>0.47</v>
      </c>
      <c r="V96" s="520">
        <v>0.627</v>
      </c>
      <c r="W96" s="520">
        <v>0.69899999999999995</v>
      </c>
      <c r="X96" s="520">
        <v>0.67500000000000004</v>
      </c>
      <c r="Y96" s="520">
        <v>0.627</v>
      </c>
      <c r="Z96" s="520">
        <v>0.56599999999999995</v>
      </c>
      <c r="AA96" s="520">
        <v>0.53</v>
      </c>
      <c r="AB96" s="520">
        <v>0.48199999999999998</v>
      </c>
      <c r="AC96" s="521">
        <v>0.33700000000000002</v>
      </c>
      <c r="AD96" s="41"/>
      <c r="AE96" s="41"/>
      <c r="AF96" s="41"/>
      <c r="AG96" s="41"/>
      <c r="AH96" s="41"/>
      <c r="AI96" s="41"/>
      <c r="AJ96" s="41"/>
      <c r="AK96" s="41"/>
      <c r="AO96"/>
      <c r="AP96"/>
      <c r="AQ96" s="585"/>
      <c r="AR96" s="586"/>
      <c r="AS96" s="586"/>
      <c r="AT96" s="586"/>
      <c r="AU96" s="586"/>
      <c r="AV96" s="586"/>
      <c r="AW96" s="586"/>
      <c r="AX96" s="586"/>
      <c r="AY96" s="586"/>
      <c r="AZ96" s="586"/>
      <c r="BA96" s="586"/>
      <c r="BB96" s="586"/>
      <c r="BC96" s="586"/>
      <c r="BD96" s="586"/>
      <c r="BE96" s="586"/>
      <c r="BF96" s="586"/>
      <c r="BG96" s="586"/>
      <c r="BH96" s="586"/>
      <c r="BI96" s="586"/>
      <c r="BJ96" s="586"/>
      <c r="BK96" s="586"/>
      <c r="BL96" s="586"/>
      <c r="BM96" s="586"/>
      <c r="BN96" s="586"/>
      <c r="BO96" s="586"/>
    </row>
    <row r="97" spans="1:67" ht="38.65" customHeight="1">
      <c r="A97" s="1063" t="str">
        <f t="shared" ref="A97:B97" si="22">A94</f>
        <v>Guest Rooms</v>
      </c>
      <c r="B97" s="1034" t="str">
        <f t="shared" si="22"/>
        <v>ResidentialLiving</v>
      </c>
      <c r="C97" s="1034" t="s">
        <v>308</v>
      </c>
      <c r="D97" s="1125" t="s">
        <v>725</v>
      </c>
      <c r="E97" s="502" t="s">
        <v>517</v>
      </c>
      <c r="F97" s="497">
        <v>1</v>
      </c>
      <c r="G97" s="497">
        <v>1</v>
      </c>
      <c r="H97" s="497">
        <v>1</v>
      </c>
      <c r="I97" s="497">
        <v>1</v>
      </c>
      <c r="J97" s="497">
        <v>1</v>
      </c>
      <c r="K97" s="497">
        <v>1</v>
      </c>
      <c r="L97" s="497">
        <v>1</v>
      </c>
      <c r="M97" s="497">
        <v>1</v>
      </c>
      <c r="N97" s="497">
        <v>1</v>
      </c>
      <c r="O97" s="497">
        <v>1</v>
      </c>
      <c r="P97" s="497">
        <v>1</v>
      </c>
      <c r="Q97" s="497">
        <v>1</v>
      </c>
      <c r="R97" s="497">
        <v>1</v>
      </c>
      <c r="S97" s="497">
        <v>1</v>
      </c>
      <c r="T97" s="497">
        <v>1</v>
      </c>
      <c r="U97" s="497">
        <v>1</v>
      </c>
      <c r="V97" s="497">
        <v>1</v>
      </c>
      <c r="W97" s="497">
        <v>1</v>
      </c>
      <c r="X97" s="497">
        <v>1</v>
      </c>
      <c r="Y97" s="497">
        <v>1</v>
      </c>
      <c r="Z97" s="497">
        <v>1</v>
      </c>
      <c r="AA97" s="497">
        <v>1</v>
      </c>
      <c r="AB97" s="497">
        <v>1</v>
      </c>
      <c r="AC97" s="498">
        <v>1</v>
      </c>
      <c r="AD97" s="41"/>
      <c r="AE97" s="41"/>
      <c r="AF97" s="41"/>
      <c r="AG97" s="41"/>
      <c r="AH97" s="41"/>
      <c r="AI97" s="41"/>
      <c r="AJ97" s="41"/>
      <c r="AK97" s="41"/>
      <c r="AM97" s="52"/>
      <c r="AO97"/>
      <c r="AP97"/>
      <c r="AQ97" s="585"/>
      <c r="AR97" s="586"/>
      <c r="AS97" s="586"/>
      <c r="AT97" s="586"/>
      <c r="AU97" s="586"/>
      <c r="AV97" s="586"/>
      <c r="AW97" s="586"/>
      <c r="AX97" s="586"/>
      <c r="AY97" s="586"/>
      <c r="AZ97" s="586"/>
      <c r="BA97" s="586"/>
      <c r="BB97" s="586"/>
      <c r="BC97" s="586"/>
      <c r="BD97" s="586"/>
      <c r="BE97" s="586"/>
      <c r="BF97" s="586"/>
      <c r="BG97" s="586"/>
      <c r="BH97" s="586"/>
      <c r="BI97" s="586"/>
      <c r="BJ97" s="586"/>
      <c r="BK97" s="586"/>
      <c r="BL97" s="586"/>
      <c r="BM97" s="586"/>
      <c r="BN97" s="586"/>
      <c r="BO97" s="586"/>
    </row>
    <row r="98" spans="1:67" ht="38.65" customHeight="1">
      <c r="A98" s="1058"/>
      <c r="B98" s="1003"/>
      <c r="C98" s="1003"/>
      <c r="D98" s="1126"/>
      <c r="E98" s="503" t="s">
        <v>524</v>
      </c>
      <c r="F98" s="496">
        <v>1</v>
      </c>
      <c r="G98" s="496">
        <v>1</v>
      </c>
      <c r="H98" s="496">
        <v>1</v>
      </c>
      <c r="I98" s="496">
        <v>1</v>
      </c>
      <c r="J98" s="496">
        <v>1</v>
      </c>
      <c r="K98" s="496">
        <v>1</v>
      </c>
      <c r="L98" s="496">
        <v>1</v>
      </c>
      <c r="M98" s="496">
        <v>1</v>
      </c>
      <c r="N98" s="496">
        <v>1</v>
      </c>
      <c r="O98" s="496">
        <v>1</v>
      </c>
      <c r="P98" s="496">
        <v>1</v>
      </c>
      <c r="Q98" s="496">
        <v>1</v>
      </c>
      <c r="R98" s="496">
        <v>1</v>
      </c>
      <c r="S98" s="496">
        <v>1</v>
      </c>
      <c r="T98" s="496">
        <v>1</v>
      </c>
      <c r="U98" s="496">
        <v>1</v>
      </c>
      <c r="V98" s="496">
        <v>1</v>
      </c>
      <c r="W98" s="496">
        <v>1</v>
      </c>
      <c r="X98" s="496">
        <v>1</v>
      </c>
      <c r="Y98" s="496">
        <v>1</v>
      </c>
      <c r="Z98" s="496">
        <v>1</v>
      </c>
      <c r="AA98" s="496">
        <v>1</v>
      </c>
      <c r="AB98" s="496">
        <v>1</v>
      </c>
      <c r="AC98" s="499">
        <v>1</v>
      </c>
      <c r="AD98" s="41"/>
      <c r="AE98" s="41"/>
      <c r="AF98" s="41"/>
      <c r="AG98" s="41"/>
      <c r="AH98" s="41"/>
      <c r="AI98" s="41"/>
      <c r="AJ98" s="41"/>
      <c r="AK98" s="41"/>
      <c r="AM98" s="52"/>
      <c r="AO98"/>
      <c r="AP98"/>
      <c r="AQ98" s="585"/>
      <c r="AR98" s="586"/>
      <c r="AS98" s="586"/>
      <c r="AT98" s="586"/>
      <c r="AU98" s="586"/>
      <c r="AV98" s="586"/>
      <c r="AW98" s="586"/>
      <c r="AX98" s="586"/>
      <c r="AY98" s="586"/>
      <c r="AZ98" s="586"/>
      <c r="BA98" s="586"/>
      <c r="BB98" s="586"/>
      <c r="BC98" s="586"/>
      <c r="BD98" s="586"/>
      <c r="BE98" s="586"/>
      <c r="BF98" s="586"/>
      <c r="BG98" s="586"/>
      <c r="BH98" s="586"/>
      <c r="BI98" s="586"/>
      <c r="BJ98" s="586"/>
      <c r="BK98" s="586"/>
      <c r="BL98" s="586"/>
      <c r="BM98" s="586"/>
      <c r="BN98" s="586"/>
      <c r="BO98" s="586"/>
    </row>
    <row r="99" spans="1:67" ht="38.65" customHeight="1" thickBot="1">
      <c r="A99" s="1059"/>
      <c r="B99" s="1036"/>
      <c r="C99" s="1036"/>
      <c r="D99" s="1138"/>
      <c r="E99" s="504" t="s">
        <v>526</v>
      </c>
      <c r="F99" s="500">
        <v>1</v>
      </c>
      <c r="G99" s="500">
        <v>1</v>
      </c>
      <c r="H99" s="500">
        <v>1</v>
      </c>
      <c r="I99" s="500">
        <v>1</v>
      </c>
      <c r="J99" s="500">
        <v>1</v>
      </c>
      <c r="K99" s="500">
        <v>1</v>
      </c>
      <c r="L99" s="500">
        <v>1</v>
      </c>
      <c r="M99" s="500">
        <v>1</v>
      </c>
      <c r="N99" s="500">
        <v>1</v>
      </c>
      <c r="O99" s="500">
        <v>1</v>
      </c>
      <c r="P99" s="500">
        <v>1</v>
      </c>
      <c r="Q99" s="500">
        <v>1</v>
      </c>
      <c r="R99" s="500">
        <v>1</v>
      </c>
      <c r="S99" s="500">
        <v>1</v>
      </c>
      <c r="T99" s="500">
        <v>1</v>
      </c>
      <c r="U99" s="500">
        <v>1</v>
      </c>
      <c r="V99" s="500">
        <v>1</v>
      </c>
      <c r="W99" s="500">
        <v>1</v>
      </c>
      <c r="X99" s="500">
        <v>1</v>
      </c>
      <c r="Y99" s="500">
        <v>1</v>
      </c>
      <c r="Z99" s="500">
        <v>1</v>
      </c>
      <c r="AA99" s="500">
        <v>1</v>
      </c>
      <c r="AB99" s="500">
        <v>1</v>
      </c>
      <c r="AC99" s="501">
        <v>1</v>
      </c>
      <c r="AD99" s="41"/>
      <c r="AE99" s="41"/>
      <c r="AF99" s="41"/>
      <c r="AG99" s="41"/>
      <c r="AH99" s="41"/>
      <c r="AI99" s="41"/>
      <c r="AJ99" s="41"/>
      <c r="AK99" s="41"/>
      <c r="AM99" s="52"/>
      <c r="AO99"/>
      <c r="AP99"/>
      <c r="AQ99" s="585"/>
      <c r="AR99" s="587"/>
      <c r="AS99" s="587"/>
      <c r="AT99" s="587"/>
      <c r="AU99" s="587"/>
      <c r="AV99" s="587"/>
      <c r="AW99" s="587"/>
      <c r="AX99" s="587"/>
      <c r="AY99" s="587"/>
      <c r="AZ99" s="587"/>
      <c r="BA99" s="587"/>
      <c r="BB99" s="587"/>
      <c r="BC99" s="587"/>
      <c r="BD99" s="587"/>
      <c r="BE99" s="587"/>
      <c r="BF99" s="587"/>
      <c r="BG99" s="587"/>
      <c r="BH99" s="587"/>
      <c r="BI99" s="587"/>
      <c r="BJ99" s="587"/>
      <c r="BK99" s="587"/>
      <c r="BL99" s="587"/>
      <c r="BM99" s="587"/>
      <c r="BN99" s="587"/>
      <c r="BO99" s="587"/>
    </row>
    <row r="100" spans="1:67" ht="30.6" customHeight="1">
      <c r="A100" s="1063" t="str">
        <f t="shared" ref="A100:B100" si="23">A97</f>
        <v>Guest Rooms</v>
      </c>
      <c r="B100" s="1034" t="str">
        <f t="shared" si="23"/>
        <v>ResidentialLiving</v>
      </c>
      <c r="C100" s="1029" t="s">
        <v>715</v>
      </c>
      <c r="D100" s="1176" t="s">
        <v>726</v>
      </c>
      <c r="E100" s="505" t="s">
        <v>517</v>
      </c>
      <c r="F100" s="556">
        <f>IF((F91=1),Thermostat!$B$11,Thermostat!$B$12)</f>
        <v>70</v>
      </c>
      <c r="G100" s="556">
        <f>IF((G91=1),Thermostat!$B$11,Thermostat!$B$12)</f>
        <v>70</v>
      </c>
      <c r="H100" s="556">
        <f>IF((H91=1),Thermostat!$B$11,Thermostat!$B$12)</f>
        <v>70</v>
      </c>
      <c r="I100" s="556">
        <f>IF((I91=1),Thermostat!$B$11,Thermostat!$B$12)</f>
        <v>70</v>
      </c>
      <c r="J100" s="556">
        <f>IF((J91=1),Thermostat!$B$11,Thermostat!$B$12)</f>
        <v>70</v>
      </c>
      <c r="K100" s="556">
        <f>IF((K91=1),Thermostat!$B$11,Thermostat!$B$12)</f>
        <v>70</v>
      </c>
      <c r="L100" s="556">
        <f>IF((L91=1),Thermostat!$B$11,Thermostat!$B$12)</f>
        <v>70</v>
      </c>
      <c r="M100" s="556">
        <f>IF((M91=1),Thermostat!$B$11,Thermostat!$B$12)</f>
        <v>70</v>
      </c>
      <c r="N100" s="556">
        <f>IF((N91=1),Thermostat!$B$11,Thermostat!$B$12)</f>
        <v>70</v>
      </c>
      <c r="O100" s="556">
        <f>IF((O91=1),Thermostat!$B$11,Thermostat!$B$12)</f>
        <v>70</v>
      </c>
      <c r="P100" s="556">
        <f>IF((P91=1),Thermostat!$B$11,Thermostat!$B$12)</f>
        <v>70</v>
      </c>
      <c r="Q100" s="556">
        <f>IF((Q91=1),Thermostat!$B$11,Thermostat!$B$12)</f>
        <v>70</v>
      </c>
      <c r="R100" s="556">
        <f>IF((R91=1),Thermostat!$B$11,Thermostat!$B$12)</f>
        <v>70</v>
      </c>
      <c r="S100" s="556">
        <f>IF((S91=1),Thermostat!$B$11,Thermostat!$B$12)</f>
        <v>70</v>
      </c>
      <c r="T100" s="556">
        <f>IF((T91=1),Thermostat!$B$11,Thermostat!$B$12)</f>
        <v>70</v>
      </c>
      <c r="U100" s="556">
        <f>IF((U91=1),Thermostat!$B$11,Thermostat!$B$12)</f>
        <v>70</v>
      </c>
      <c r="V100" s="556">
        <f>IF((V91=1),Thermostat!$B$11,Thermostat!$B$12)</f>
        <v>70</v>
      </c>
      <c r="W100" s="556">
        <f>IF((W91=1),Thermostat!$B$11,Thermostat!$B$12)</f>
        <v>70</v>
      </c>
      <c r="X100" s="556">
        <f>IF((X91=1),Thermostat!$B$11,Thermostat!$B$12)</f>
        <v>70</v>
      </c>
      <c r="Y100" s="556">
        <f>IF((Y91=1),Thermostat!$B$11,Thermostat!$B$12)</f>
        <v>70</v>
      </c>
      <c r="Z100" s="556">
        <f>IF((Z91=1),Thermostat!$B$11,Thermostat!$B$12)</f>
        <v>70</v>
      </c>
      <c r="AA100" s="556">
        <f>IF((AA91=1),Thermostat!$B$11,Thermostat!$B$12)</f>
        <v>70</v>
      </c>
      <c r="AB100" s="556">
        <f>IF((AB91=1),Thermostat!$B$11,Thermostat!$B$12)</f>
        <v>70</v>
      </c>
      <c r="AC100" s="557">
        <f>IF((AC91=1),Thermostat!$B$11,Thermostat!$B$12)</f>
        <v>70</v>
      </c>
      <c r="AD100" s="558"/>
      <c r="AE100" s="41"/>
      <c r="AF100" s="41"/>
      <c r="AG100" s="41"/>
      <c r="AH100" s="41"/>
      <c r="AI100" s="41"/>
      <c r="AJ100" s="41"/>
      <c r="AK100" s="41"/>
      <c r="AO100"/>
      <c r="AP100"/>
      <c r="AQ100" s="585"/>
      <c r="AR100" s="587"/>
      <c r="AS100" s="587"/>
      <c r="AT100" s="587"/>
      <c r="AU100" s="587"/>
      <c r="AV100" s="587"/>
      <c r="AW100" s="587"/>
      <c r="AX100" s="587"/>
      <c r="AY100" s="587"/>
      <c r="AZ100" s="587"/>
      <c r="BA100" s="587"/>
      <c r="BB100" s="587"/>
      <c r="BC100" s="587"/>
      <c r="BD100" s="587"/>
      <c r="BE100" s="587"/>
      <c r="BF100" s="587"/>
      <c r="BG100" s="587"/>
      <c r="BH100" s="587"/>
      <c r="BI100" s="587"/>
      <c r="BJ100" s="587"/>
      <c r="BK100" s="587"/>
      <c r="BL100" s="587"/>
      <c r="BM100" s="587"/>
      <c r="BN100" s="587"/>
      <c r="BO100" s="587"/>
    </row>
    <row r="101" spans="1:67" ht="30.6" customHeight="1">
      <c r="A101" s="1058"/>
      <c r="B101" s="1003"/>
      <c r="C101" s="1003"/>
      <c r="D101" s="1126"/>
      <c r="E101" s="503" t="s">
        <v>524</v>
      </c>
      <c r="F101" s="532">
        <f>IF((F92=1),Thermostat!$B$11,Thermostat!$B$12)</f>
        <v>70</v>
      </c>
      <c r="G101" s="532">
        <f>IF((G92=1),Thermostat!$B$11,Thermostat!$B$12)</f>
        <v>70</v>
      </c>
      <c r="H101" s="532">
        <f>IF((H92=1),Thermostat!$B$11,Thermostat!$B$12)</f>
        <v>70</v>
      </c>
      <c r="I101" s="532">
        <f>IF((I92=1),Thermostat!$B$11,Thermostat!$B$12)</f>
        <v>70</v>
      </c>
      <c r="J101" s="532">
        <f>IF((J92=1),Thermostat!$B$11,Thermostat!$B$12)</f>
        <v>70</v>
      </c>
      <c r="K101" s="532">
        <f>IF((K92=1),Thermostat!$B$11,Thermostat!$B$12)</f>
        <v>70</v>
      </c>
      <c r="L101" s="532">
        <f>IF((L92=1),Thermostat!$B$11,Thermostat!$B$12)</f>
        <v>70</v>
      </c>
      <c r="M101" s="532">
        <f>IF((M92=1),Thermostat!$B$11,Thermostat!$B$12)</f>
        <v>70</v>
      </c>
      <c r="N101" s="532">
        <f>IF((N92=1),Thermostat!$B$11,Thermostat!$B$12)</f>
        <v>70</v>
      </c>
      <c r="O101" s="532">
        <f>IF((O92=1),Thermostat!$B$11,Thermostat!$B$12)</f>
        <v>70</v>
      </c>
      <c r="P101" s="532">
        <f>IF((P92=1),Thermostat!$B$11,Thermostat!$B$12)</f>
        <v>70</v>
      </c>
      <c r="Q101" s="532">
        <f>IF((Q92=1),Thermostat!$B$11,Thermostat!$B$12)</f>
        <v>70</v>
      </c>
      <c r="R101" s="532">
        <f>IF((R92=1),Thermostat!$B$11,Thermostat!$B$12)</f>
        <v>70</v>
      </c>
      <c r="S101" s="532">
        <f>IF((S92=1),Thermostat!$B$11,Thermostat!$B$12)</f>
        <v>70</v>
      </c>
      <c r="T101" s="532">
        <f>IF((T92=1),Thermostat!$B$11,Thermostat!$B$12)</f>
        <v>70</v>
      </c>
      <c r="U101" s="532">
        <f>IF((U92=1),Thermostat!$B$11,Thermostat!$B$12)</f>
        <v>70</v>
      </c>
      <c r="V101" s="532">
        <f>IF((V92=1),Thermostat!$B$11,Thermostat!$B$12)</f>
        <v>70</v>
      </c>
      <c r="W101" s="532">
        <f>IF((W92=1),Thermostat!$B$11,Thermostat!$B$12)</f>
        <v>70</v>
      </c>
      <c r="X101" s="532">
        <f>IF((X92=1),Thermostat!$B$11,Thermostat!$B$12)</f>
        <v>70</v>
      </c>
      <c r="Y101" s="532">
        <f>IF((Y92=1),Thermostat!$B$11,Thermostat!$B$12)</f>
        <v>70</v>
      </c>
      <c r="Z101" s="532">
        <f>IF((Z92=1),Thermostat!$B$11,Thermostat!$B$12)</f>
        <v>70</v>
      </c>
      <c r="AA101" s="532">
        <f>IF((AA92=1),Thermostat!$B$11,Thermostat!$B$12)</f>
        <v>70</v>
      </c>
      <c r="AB101" s="532">
        <f>IF((AB92=1),Thermostat!$B$11,Thermostat!$B$12)</f>
        <v>70</v>
      </c>
      <c r="AC101" s="533">
        <f>IF((AC92=1),Thermostat!$B$11,Thermostat!$B$12)</f>
        <v>70</v>
      </c>
      <c r="AD101" s="558"/>
      <c r="AE101" s="41"/>
      <c r="AF101" s="41"/>
      <c r="AG101" s="41"/>
      <c r="AH101" s="41"/>
      <c r="AI101" s="41"/>
      <c r="AJ101" s="41"/>
      <c r="AK101" s="41"/>
      <c r="AO101"/>
      <c r="AP101"/>
      <c r="AQ101" s="585"/>
      <c r="AR101" s="587"/>
      <c r="AS101" s="587"/>
      <c r="AT101" s="587"/>
      <c r="AU101" s="587"/>
      <c r="AV101" s="587"/>
      <c r="AW101" s="587"/>
      <c r="AX101" s="587"/>
      <c r="AY101" s="587"/>
      <c r="AZ101" s="587"/>
      <c r="BA101" s="587"/>
      <c r="BB101" s="587"/>
      <c r="BC101" s="587"/>
      <c r="BD101" s="587"/>
      <c r="BE101" s="587"/>
      <c r="BF101" s="587"/>
      <c r="BG101" s="587"/>
      <c r="BH101" s="587"/>
      <c r="BI101" s="587"/>
      <c r="BJ101" s="587"/>
      <c r="BK101" s="587"/>
      <c r="BL101" s="587"/>
      <c r="BM101" s="587"/>
      <c r="BN101" s="587"/>
      <c r="BO101" s="587"/>
    </row>
    <row r="102" spans="1:67" ht="30.6" customHeight="1" thickBot="1">
      <c r="A102" s="1059"/>
      <c r="B102" s="1036"/>
      <c r="C102" s="1030"/>
      <c r="D102" s="1127"/>
      <c r="E102" s="517" t="s">
        <v>526</v>
      </c>
      <c r="F102" s="534">
        <f>IF((F93=1),Thermostat!$B$11,Thermostat!$B$12)</f>
        <v>70</v>
      </c>
      <c r="G102" s="534">
        <f>IF((G93=1),Thermostat!$B$11,Thermostat!$B$12)</f>
        <v>70</v>
      </c>
      <c r="H102" s="534">
        <f>IF((H93=1),Thermostat!$B$11,Thermostat!$B$12)</f>
        <v>70</v>
      </c>
      <c r="I102" s="534">
        <f>IF((I93=1),Thermostat!$B$11,Thermostat!$B$12)</f>
        <v>70</v>
      </c>
      <c r="J102" s="534">
        <f>IF((J93=1),Thermostat!$B$11,Thermostat!$B$12)</f>
        <v>70</v>
      </c>
      <c r="K102" s="534">
        <f>IF((K93=1),Thermostat!$B$11,Thermostat!$B$12)</f>
        <v>70</v>
      </c>
      <c r="L102" s="534">
        <f>IF((L93=1),Thermostat!$B$11,Thermostat!$B$12)</f>
        <v>70</v>
      </c>
      <c r="M102" s="534">
        <f>IF((M93=1),Thermostat!$B$11,Thermostat!$B$12)</f>
        <v>70</v>
      </c>
      <c r="N102" s="534">
        <f>IF((N93=1),Thermostat!$B$11,Thermostat!$B$12)</f>
        <v>70</v>
      </c>
      <c r="O102" s="534">
        <f>IF((O93=1),Thermostat!$B$11,Thermostat!$B$12)</f>
        <v>70</v>
      </c>
      <c r="P102" s="534">
        <f>IF((P93=1),Thermostat!$B$11,Thermostat!$B$12)</f>
        <v>70</v>
      </c>
      <c r="Q102" s="534">
        <f>IF((Q93=1),Thermostat!$B$11,Thermostat!$B$12)</f>
        <v>70</v>
      </c>
      <c r="R102" s="534">
        <f>IF((R93=1),Thermostat!$B$11,Thermostat!$B$12)</f>
        <v>70</v>
      </c>
      <c r="S102" s="534">
        <f>IF((S93=1),Thermostat!$B$11,Thermostat!$B$12)</f>
        <v>70</v>
      </c>
      <c r="T102" s="534">
        <f>IF((T93=1),Thermostat!$B$11,Thermostat!$B$12)</f>
        <v>70</v>
      </c>
      <c r="U102" s="534">
        <f>IF((U93=1),Thermostat!$B$11,Thermostat!$B$12)</f>
        <v>70</v>
      </c>
      <c r="V102" s="534">
        <f>IF((V93=1),Thermostat!$B$11,Thermostat!$B$12)</f>
        <v>70</v>
      </c>
      <c r="W102" s="534">
        <f>IF((W93=1),Thermostat!$B$11,Thermostat!$B$12)</f>
        <v>70</v>
      </c>
      <c r="X102" s="534">
        <f>IF((X93=1),Thermostat!$B$11,Thermostat!$B$12)</f>
        <v>70</v>
      </c>
      <c r="Y102" s="534">
        <f>IF((Y93=1),Thermostat!$B$11,Thermostat!$B$12)</f>
        <v>70</v>
      </c>
      <c r="Z102" s="534">
        <f>IF((Z93=1),Thermostat!$B$11,Thermostat!$B$12)</f>
        <v>70</v>
      </c>
      <c r="AA102" s="534">
        <f>IF((AA93=1),Thermostat!$B$11,Thermostat!$B$12)</f>
        <v>70</v>
      </c>
      <c r="AB102" s="534">
        <f>IF((AB93=1),Thermostat!$B$11,Thermostat!$B$12)</f>
        <v>70</v>
      </c>
      <c r="AC102" s="535">
        <f>IF((AC93=1),Thermostat!$B$11,Thermostat!$B$12)</f>
        <v>70</v>
      </c>
      <c r="AD102" s="558"/>
      <c r="AE102" s="41"/>
      <c r="AF102" s="41"/>
      <c r="AG102" s="41"/>
      <c r="AH102" s="41"/>
      <c r="AI102" s="41"/>
      <c r="AJ102" s="41"/>
      <c r="AK102" s="41"/>
      <c r="AO102"/>
      <c r="AP102"/>
      <c r="AQ102" s="585"/>
      <c r="AR102" s="587"/>
      <c r="AS102" s="587"/>
      <c r="AT102" s="587"/>
      <c r="AU102" s="587"/>
      <c r="AV102" s="587"/>
      <c r="AW102" s="587"/>
      <c r="AX102" s="587"/>
      <c r="AY102" s="587"/>
      <c r="AZ102" s="587"/>
      <c r="BA102" s="587"/>
      <c r="BB102" s="587"/>
      <c r="BC102" s="587"/>
      <c r="BD102" s="587"/>
      <c r="BE102" s="587"/>
      <c r="BF102" s="587"/>
      <c r="BG102" s="587"/>
      <c r="BH102" s="587"/>
      <c r="BI102" s="587"/>
      <c r="BJ102" s="587"/>
      <c r="BK102" s="587"/>
      <c r="BL102" s="587"/>
      <c r="BM102" s="587"/>
      <c r="BN102" s="587"/>
      <c r="BO102" s="587"/>
    </row>
    <row r="103" spans="1:67" ht="30.6" customHeight="1">
      <c r="A103" s="1063" t="str">
        <f>A100</f>
        <v>Guest Rooms</v>
      </c>
      <c r="B103" s="1034" t="str">
        <f>B100</f>
        <v>ResidentialLiving</v>
      </c>
      <c r="C103" s="1034" t="s">
        <v>716</v>
      </c>
      <c r="D103" s="1125" t="s">
        <v>726</v>
      </c>
      <c r="E103" s="502" t="s">
        <v>517</v>
      </c>
      <c r="F103" s="539">
        <f>IF((F91=1),Thermostat!$B$13,Thermostat!$B$14)</f>
        <v>72</v>
      </c>
      <c r="G103" s="539">
        <f>IF((G91=1),Thermostat!$B$13,Thermostat!$B$14)</f>
        <v>72</v>
      </c>
      <c r="H103" s="539">
        <f>IF((H91=1),Thermostat!$B$13,Thermostat!$B$14)</f>
        <v>72</v>
      </c>
      <c r="I103" s="539">
        <f>IF((I91=1),Thermostat!$B$13,Thermostat!$B$14)</f>
        <v>72</v>
      </c>
      <c r="J103" s="539">
        <f>IF((J91=1),Thermostat!$B$13,Thermostat!$B$14)</f>
        <v>72</v>
      </c>
      <c r="K103" s="539">
        <f>IF((K91=1),Thermostat!$B$13,Thermostat!$B$14)</f>
        <v>72</v>
      </c>
      <c r="L103" s="539">
        <f>IF((L91=1),Thermostat!$B$13,Thermostat!$B$14)</f>
        <v>72</v>
      </c>
      <c r="M103" s="539">
        <f>IF((M91=1),Thermostat!$B$13,Thermostat!$B$14)</f>
        <v>72</v>
      </c>
      <c r="N103" s="539">
        <f>IF((N91=1),Thermostat!$B$13,Thermostat!$B$14)</f>
        <v>72</v>
      </c>
      <c r="O103" s="539">
        <f>IF((O91=1),Thermostat!$B$13,Thermostat!$B$14)</f>
        <v>72</v>
      </c>
      <c r="P103" s="539">
        <f>IF((P91=1),Thermostat!$B$13,Thermostat!$B$14)</f>
        <v>72</v>
      </c>
      <c r="Q103" s="539">
        <f>IF((Q91=1),Thermostat!$B$13,Thermostat!$B$14)</f>
        <v>72</v>
      </c>
      <c r="R103" s="539">
        <f>IF((R91=1),Thermostat!$B$13,Thermostat!$B$14)</f>
        <v>72</v>
      </c>
      <c r="S103" s="539">
        <f>IF((S91=1),Thermostat!$B$13,Thermostat!$B$14)</f>
        <v>72</v>
      </c>
      <c r="T103" s="539">
        <f>IF((T91=1),Thermostat!$B$13,Thermostat!$B$14)</f>
        <v>72</v>
      </c>
      <c r="U103" s="539">
        <f>IF((U91=1),Thermostat!$B$13,Thermostat!$B$14)</f>
        <v>72</v>
      </c>
      <c r="V103" s="539">
        <f>IF((V91=1),Thermostat!$B$13,Thermostat!$B$14)</f>
        <v>72</v>
      </c>
      <c r="W103" s="539">
        <f>IF((W91=1),Thermostat!$B$13,Thermostat!$B$14)</f>
        <v>72</v>
      </c>
      <c r="X103" s="539">
        <f>IF((X91=1),Thermostat!$B$13,Thermostat!$B$14)</f>
        <v>72</v>
      </c>
      <c r="Y103" s="539">
        <f>IF((Y91=1),Thermostat!$B$13,Thermostat!$B$14)</f>
        <v>72</v>
      </c>
      <c r="Z103" s="539">
        <f>IF((Z91=1),Thermostat!$B$13,Thermostat!$B$14)</f>
        <v>72</v>
      </c>
      <c r="AA103" s="539">
        <f>IF((AA91=1),Thermostat!$B$13,Thermostat!$B$14)</f>
        <v>72</v>
      </c>
      <c r="AB103" s="539">
        <f>IF((AB91=1),Thermostat!$B$13,Thermostat!$B$14)</f>
        <v>72</v>
      </c>
      <c r="AC103" s="540">
        <f>IF((AC91=1),Thermostat!$B$13,Thermostat!$B$14)</f>
        <v>72</v>
      </c>
      <c r="AD103" s="558"/>
      <c r="AE103" s="41"/>
      <c r="AF103" s="41"/>
      <c r="AG103" s="41"/>
      <c r="AH103" s="41"/>
      <c r="AI103" s="41"/>
      <c r="AJ103" s="41"/>
      <c r="AK103" s="41"/>
      <c r="AO103"/>
      <c r="AP103"/>
      <c r="AQ103" s="585"/>
      <c r="AR103" s="587"/>
      <c r="AS103" s="587"/>
      <c r="AT103" s="587"/>
      <c r="AU103" s="587"/>
      <c r="AV103" s="587"/>
      <c r="AW103" s="587"/>
      <c r="AX103" s="587"/>
      <c r="AY103" s="587"/>
      <c r="AZ103" s="587"/>
      <c r="BA103" s="587"/>
      <c r="BB103" s="587"/>
      <c r="BC103" s="587"/>
      <c r="BD103" s="587"/>
      <c r="BE103" s="587"/>
      <c r="BF103" s="587"/>
      <c r="BG103" s="587"/>
      <c r="BH103" s="587"/>
      <c r="BI103" s="587"/>
      <c r="BJ103" s="587"/>
      <c r="BK103" s="587"/>
      <c r="BL103" s="587"/>
      <c r="BM103" s="587"/>
      <c r="BN103" s="587"/>
      <c r="BO103" s="587"/>
    </row>
    <row r="104" spans="1:67" ht="30.6" customHeight="1">
      <c r="A104" s="1058"/>
      <c r="B104" s="1003"/>
      <c r="C104" s="1003"/>
      <c r="D104" s="1126"/>
      <c r="E104" s="503" t="s">
        <v>524</v>
      </c>
      <c r="F104" s="532">
        <f>IF((F92=1),Thermostat!$B$13,Thermostat!$B$14)</f>
        <v>72</v>
      </c>
      <c r="G104" s="532">
        <f>IF((G92=1),Thermostat!$B$13,Thermostat!$B$14)</f>
        <v>72</v>
      </c>
      <c r="H104" s="532">
        <f>IF((H92=1),Thermostat!$B$13,Thermostat!$B$14)</f>
        <v>72</v>
      </c>
      <c r="I104" s="532">
        <f>IF((I92=1),Thermostat!$B$13,Thermostat!$B$14)</f>
        <v>72</v>
      </c>
      <c r="J104" s="532">
        <f>IF((J92=1),Thermostat!$B$13,Thermostat!$B$14)</f>
        <v>72</v>
      </c>
      <c r="K104" s="532">
        <f>IF((K92=1),Thermostat!$B$13,Thermostat!$B$14)</f>
        <v>72</v>
      </c>
      <c r="L104" s="532">
        <f>IF((L92=1),Thermostat!$B$13,Thermostat!$B$14)</f>
        <v>72</v>
      </c>
      <c r="M104" s="532">
        <f>IF((M92=1),Thermostat!$B$13,Thermostat!$B$14)</f>
        <v>72</v>
      </c>
      <c r="N104" s="532">
        <f>IF((N92=1),Thermostat!$B$13,Thermostat!$B$14)</f>
        <v>72</v>
      </c>
      <c r="O104" s="532">
        <f>IF((O92=1),Thermostat!$B$13,Thermostat!$B$14)</f>
        <v>72</v>
      </c>
      <c r="P104" s="532">
        <f>IF((P92=1),Thermostat!$B$13,Thermostat!$B$14)</f>
        <v>72</v>
      </c>
      <c r="Q104" s="532">
        <f>IF((Q92=1),Thermostat!$B$13,Thermostat!$B$14)</f>
        <v>72</v>
      </c>
      <c r="R104" s="532">
        <f>IF((R92=1),Thermostat!$B$13,Thermostat!$B$14)</f>
        <v>72</v>
      </c>
      <c r="S104" s="532">
        <f>IF((S92=1),Thermostat!$B$13,Thermostat!$B$14)</f>
        <v>72</v>
      </c>
      <c r="T104" s="532">
        <f>IF((T92=1),Thermostat!$B$13,Thermostat!$B$14)</f>
        <v>72</v>
      </c>
      <c r="U104" s="532">
        <f>IF((U92=1),Thermostat!$B$13,Thermostat!$B$14)</f>
        <v>72</v>
      </c>
      <c r="V104" s="532">
        <f>IF((V92=1),Thermostat!$B$13,Thermostat!$B$14)</f>
        <v>72</v>
      </c>
      <c r="W104" s="532">
        <f>IF((W92=1),Thermostat!$B$13,Thermostat!$B$14)</f>
        <v>72</v>
      </c>
      <c r="X104" s="532">
        <f>IF((X92=1),Thermostat!$B$13,Thermostat!$B$14)</f>
        <v>72</v>
      </c>
      <c r="Y104" s="532">
        <f>IF((Y92=1),Thermostat!$B$13,Thermostat!$B$14)</f>
        <v>72</v>
      </c>
      <c r="Z104" s="532">
        <f>IF((Z92=1),Thermostat!$B$13,Thermostat!$B$14)</f>
        <v>72</v>
      </c>
      <c r="AA104" s="532">
        <f>IF((AA92=1),Thermostat!$B$13,Thermostat!$B$14)</f>
        <v>72</v>
      </c>
      <c r="AB104" s="532">
        <f>IF((AB92=1),Thermostat!$B$13,Thermostat!$B$14)</f>
        <v>72</v>
      </c>
      <c r="AC104" s="533">
        <f>IF((AC92=1),Thermostat!$B$13,Thermostat!$B$14)</f>
        <v>72</v>
      </c>
      <c r="AD104" s="558"/>
      <c r="AE104" s="41"/>
      <c r="AF104" s="41"/>
      <c r="AG104" s="41"/>
      <c r="AH104" s="41"/>
      <c r="AI104" s="41"/>
      <c r="AJ104" s="41"/>
      <c r="AK104" s="41"/>
      <c r="AO104"/>
      <c r="AP104"/>
      <c r="AQ104" s="585"/>
      <c r="AR104" s="587"/>
      <c r="AS104" s="587"/>
      <c r="AT104" s="587"/>
      <c r="AU104" s="587"/>
      <c r="AV104" s="587"/>
      <c r="AW104" s="587"/>
      <c r="AX104" s="587"/>
      <c r="AY104" s="587"/>
      <c r="AZ104" s="587"/>
      <c r="BA104" s="587"/>
      <c r="BB104" s="587"/>
      <c r="BC104" s="587"/>
      <c r="BD104" s="587"/>
      <c r="BE104" s="587"/>
      <c r="BF104" s="587"/>
      <c r="BG104" s="587"/>
      <c r="BH104" s="587"/>
      <c r="BI104" s="587"/>
      <c r="BJ104" s="587"/>
      <c r="BK104" s="587"/>
      <c r="BL104" s="587"/>
      <c r="BM104" s="587"/>
      <c r="BN104" s="587"/>
      <c r="BO104" s="587"/>
    </row>
    <row r="105" spans="1:67" ht="30.6" customHeight="1" thickBot="1">
      <c r="A105" s="1059"/>
      <c r="B105" s="1036"/>
      <c r="C105" s="1036"/>
      <c r="D105" s="1138"/>
      <c r="E105" s="504" t="s">
        <v>526</v>
      </c>
      <c r="F105" s="541">
        <f>IF((F93=1),Thermostat!$B$13,Thermostat!$B$14)</f>
        <v>72</v>
      </c>
      <c r="G105" s="541">
        <f>IF((G93=1),Thermostat!$B$13,Thermostat!$B$14)</f>
        <v>72</v>
      </c>
      <c r="H105" s="541">
        <f>IF((H93=1),Thermostat!$B$13,Thermostat!$B$14)</f>
        <v>72</v>
      </c>
      <c r="I105" s="541">
        <f>IF((I93=1),Thermostat!$B$13,Thermostat!$B$14)</f>
        <v>72</v>
      </c>
      <c r="J105" s="541">
        <f>IF((J93=1),Thermostat!$B$13,Thermostat!$B$14)</f>
        <v>72</v>
      </c>
      <c r="K105" s="541">
        <f>IF((K93=1),Thermostat!$B$13,Thermostat!$B$14)</f>
        <v>72</v>
      </c>
      <c r="L105" s="541">
        <f>IF((L93=1),Thermostat!$B$13,Thermostat!$B$14)</f>
        <v>72</v>
      </c>
      <c r="M105" s="541">
        <f>IF((M93=1),Thermostat!$B$13,Thermostat!$B$14)</f>
        <v>72</v>
      </c>
      <c r="N105" s="541">
        <f>IF((N93=1),Thermostat!$B$13,Thermostat!$B$14)</f>
        <v>72</v>
      </c>
      <c r="O105" s="541">
        <f>IF((O93=1),Thermostat!$B$13,Thermostat!$B$14)</f>
        <v>72</v>
      </c>
      <c r="P105" s="541">
        <f>IF((P93=1),Thermostat!$B$13,Thermostat!$B$14)</f>
        <v>72</v>
      </c>
      <c r="Q105" s="541">
        <f>IF((Q93=1),Thermostat!$B$13,Thermostat!$B$14)</f>
        <v>72</v>
      </c>
      <c r="R105" s="541">
        <f>IF((R93=1),Thermostat!$B$13,Thermostat!$B$14)</f>
        <v>72</v>
      </c>
      <c r="S105" s="541">
        <f>IF((S93=1),Thermostat!$B$13,Thermostat!$B$14)</f>
        <v>72</v>
      </c>
      <c r="T105" s="541">
        <f>IF((T93=1),Thermostat!$B$13,Thermostat!$B$14)</f>
        <v>72</v>
      </c>
      <c r="U105" s="541">
        <f>IF((U93=1),Thermostat!$B$13,Thermostat!$B$14)</f>
        <v>72</v>
      </c>
      <c r="V105" s="541">
        <f>IF((V93=1),Thermostat!$B$13,Thermostat!$B$14)</f>
        <v>72</v>
      </c>
      <c r="W105" s="541">
        <f>IF((W93=1),Thermostat!$B$13,Thermostat!$B$14)</f>
        <v>72</v>
      </c>
      <c r="X105" s="541">
        <f>IF((X93=1),Thermostat!$B$13,Thermostat!$B$14)</f>
        <v>72</v>
      </c>
      <c r="Y105" s="541">
        <f>IF((Y93=1),Thermostat!$B$13,Thermostat!$B$14)</f>
        <v>72</v>
      </c>
      <c r="Z105" s="541">
        <f>IF((Z93=1),Thermostat!$B$13,Thermostat!$B$14)</f>
        <v>72</v>
      </c>
      <c r="AA105" s="541">
        <f>IF((AA93=1),Thermostat!$B$13,Thermostat!$B$14)</f>
        <v>72</v>
      </c>
      <c r="AB105" s="541">
        <f>IF((AB93=1),Thermostat!$B$13,Thermostat!$B$14)</f>
        <v>72</v>
      </c>
      <c r="AC105" s="542">
        <f>IF((AC93=1),Thermostat!$B$13,Thermostat!$B$14)</f>
        <v>72</v>
      </c>
      <c r="AD105" s="558"/>
      <c r="AE105" s="41"/>
      <c r="AF105" s="41"/>
      <c r="AG105" s="41"/>
      <c r="AH105" s="41"/>
      <c r="AI105" s="41"/>
      <c r="AJ105" s="41"/>
      <c r="AK105" s="41"/>
      <c r="AO105"/>
      <c r="AP105"/>
      <c r="AQ105" s="585"/>
      <c r="AR105" s="586"/>
      <c r="AS105" s="586"/>
      <c r="AT105" s="586"/>
      <c r="AU105" s="586"/>
      <c r="AV105" s="586"/>
      <c r="AW105" s="586"/>
      <c r="AX105" s="586"/>
      <c r="AY105" s="586"/>
      <c r="AZ105" s="586"/>
      <c r="BA105" s="586"/>
      <c r="BB105" s="586"/>
      <c r="BC105" s="586"/>
      <c r="BD105" s="586"/>
      <c r="BE105" s="586"/>
      <c r="BF105" s="586"/>
      <c r="BG105" s="586"/>
      <c r="BH105" s="586"/>
      <c r="BI105" s="586"/>
      <c r="BJ105" s="586"/>
      <c r="BK105" s="586"/>
      <c r="BL105" s="586"/>
      <c r="BM105" s="586"/>
      <c r="BN105" s="586"/>
      <c r="BO105" s="586"/>
    </row>
    <row r="106" spans="1:67" ht="30.6" customHeight="1" thickBot="1">
      <c r="A106" s="1135" t="s">
        <v>134</v>
      </c>
      <c r="B106" s="1136"/>
      <c r="C106" s="1136"/>
      <c r="D106" s="1136"/>
      <c r="E106" s="1136"/>
      <c r="F106" s="1136"/>
      <c r="G106" s="1136"/>
      <c r="H106" s="1136"/>
      <c r="I106" s="1136"/>
      <c r="J106" s="1136"/>
      <c r="K106" s="1136"/>
      <c r="L106" s="1136"/>
      <c r="M106" s="1136"/>
      <c r="N106" s="1136"/>
      <c r="O106" s="1136"/>
      <c r="P106" s="1136"/>
      <c r="Q106" s="1136"/>
      <c r="R106" s="1136"/>
      <c r="S106" s="1136"/>
      <c r="T106" s="1136"/>
      <c r="U106" s="1136"/>
      <c r="V106" s="1136"/>
      <c r="W106" s="1136"/>
      <c r="X106" s="1136"/>
      <c r="Y106" s="1136"/>
      <c r="Z106" s="1136"/>
      <c r="AA106" s="1136"/>
      <c r="AB106" s="1136"/>
      <c r="AC106" s="1137"/>
      <c r="AD106" s="41"/>
      <c r="AE106" s="41"/>
      <c r="AF106" s="41"/>
      <c r="AG106" s="41"/>
      <c r="AH106" s="41"/>
      <c r="AI106" s="41"/>
      <c r="AJ106" s="41"/>
      <c r="AK106" s="41"/>
      <c r="AO106"/>
      <c r="AP106"/>
      <c r="AQ106" s="585"/>
      <c r="AR106" s="586"/>
      <c r="AS106" s="586"/>
      <c r="AT106" s="586"/>
      <c r="AU106" s="586"/>
      <c r="AV106" s="586"/>
      <c r="AW106" s="586"/>
      <c r="AX106" s="586"/>
      <c r="AY106" s="586"/>
      <c r="AZ106" s="586"/>
      <c r="BA106" s="586"/>
      <c r="BB106" s="586"/>
      <c r="BC106" s="586"/>
      <c r="BD106" s="586"/>
      <c r="BE106" s="586"/>
      <c r="BF106" s="586"/>
      <c r="BG106" s="586"/>
      <c r="BH106" s="586"/>
      <c r="BI106" s="586"/>
      <c r="BJ106" s="586"/>
      <c r="BK106" s="586"/>
      <c r="BL106" s="586"/>
      <c r="BM106" s="586"/>
      <c r="BN106" s="586"/>
      <c r="BO106" s="586"/>
    </row>
    <row r="107" spans="1:67" ht="30.6" customHeight="1">
      <c r="A107" s="1063" t="s">
        <v>727</v>
      </c>
      <c r="B107" s="1129" t="str">
        <f>Zones!D7</f>
        <v>Retail</v>
      </c>
      <c r="C107" s="1101" t="s">
        <v>706</v>
      </c>
      <c r="D107" s="1125" t="s">
        <v>728</v>
      </c>
      <c r="E107" s="105" t="s">
        <v>517</v>
      </c>
      <c r="F107" s="80">
        <v>0</v>
      </c>
      <c r="G107" s="80">
        <v>0</v>
      </c>
      <c r="H107" s="80">
        <v>0</v>
      </c>
      <c r="I107" s="80">
        <v>0</v>
      </c>
      <c r="J107" s="80">
        <v>0</v>
      </c>
      <c r="K107" s="80">
        <v>0</v>
      </c>
      <c r="L107" s="80">
        <v>0</v>
      </c>
      <c r="M107" s="80">
        <v>0.1</v>
      </c>
      <c r="N107" s="80">
        <v>0.2</v>
      </c>
      <c r="O107" s="80">
        <v>0.5</v>
      </c>
      <c r="P107" s="80">
        <v>0.5</v>
      </c>
      <c r="Q107" s="80">
        <v>0.7</v>
      </c>
      <c r="R107" s="80">
        <v>0.7</v>
      </c>
      <c r="S107" s="80">
        <v>0.7</v>
      </c>
      <c r="T107" s="80">
        <v>0.7</v>
      </c>
      <c r="U107" s="80">
        <v>0.8</v>
      </c>
      <c r="V107" s="80">
        <v>0.7</v>
      </c>
      <c r="W107" s="80">
        <v>0.5</v>
      </c>
      <c r="X107" s="80">
        <v>0.5</v>
      </c>
      <c r="Y107" s="80">
        <v>0.3</v>
      </c>
      <c r="Z107" s="80">
        <v>0.3</v>
      </c>
      <c r="AA107" s="80">
        <v>0</v>
      </c>
      <c r="AB107" s="80">
        <v>0</v>
      </c>
      <c r="AC107" s="83">
        <v>0</v>
      </c>
      <c r="AD107" s="41"/>
      <c r="AE107" s="41"/>
      <c r="AF107" s="41"/>
      <c r="AG107" s="41"/>
      <c r="AH107" s="41"/>
      <c r="AI107" s="41"/>
      <c r="AJ107" s="41"/>
      <c r="AK107" s="41"/>
      <c r="AO107"/>
      <c r="AP107"/>
      <c r="AQ107" s="585"/>
      <c r="AR107" s="586"/>
      <c r="AS107" s="586"/>
      <c r="AT107" s="586"/>
      <c r="AU107" s="586"/>
      <c r="AV107" s="586"/>
      <c r="AW107" s="586"/>
      <c r="AX107" s="586"/>
      <c r="AY107" s="586"/>
      <c r="AZ107" s="586"/>
      <c r="BA107" s="586"/>
      <c r="BB107" s="586"/>
      <c r="BC107" s="586"/>
      <c r="BD107" s="586"/>
      <c r="BE107" s="586"/>
      <c r="BF107" s="586"/>
      <c r="BG107" s="586"/>
      <c r="BH107" s="586"/>
      <c r="BI107" s="586"/>
      <c r="BJ107" s="586"/>
      <c r="BK107" s="586"/>
      <c r="BL107" s="586"/>
      <c r="BM107" s="586"/>
      <c r="BN107" s="586"/>
      <c r="BO107" s="586"/>
    </row>
    <row r="108" spans="1:67" ht="30.6" customHeight="1">
      <c r="A108" s="1058"/>
      <c r="B108" s="1090"/>
      <c r="C108" s="1090"/>
      <c r="D108" s="1126"/>
      <c r="E108" s="106" t="s">
        <v>524</v>
      </c>
      <c r="F108" s="81">
        <v>0</v>
      </c>
      <c r="G108" s="81">
        <v>0</v>
      </c>
      <c r="H108" s="81">
        <v>0</v>
      </c>
      <c r="I108" s="81">
        <v>0</v>
      </c>
      <c r="J108" s="81">
        <v>0</v>
      </c>
      <c r="K108" s="81">
        <v>0</v>
      </c>
      <c r="L108" s="81">
        <v>0</v>
      </c>
      <c r="M108" s="81">
        <v>0.1</v>
      </c>
      <c r="N108" s="81">
        <v>0.2</v>
      </c>
      <c r="O108" s="81">
        <v>0.5</v>
      </c>
      <c r="P108" s="81">
        <v>0.6</v>
      </c>
      <c r="Q108" s="81">
        <v>0.8</v>
      </c>
      <c r="R108" s="81">
        <v>0.8</v>
      </c>
      <c r="S108" s="81">
        <v>0.8</v>
      </c>
      <c r="T108" s="81">
        <v>0.8</v>
      </c>
      <c r="U108" s="81">
        <v>0.8</v>
      </c>
      <c r="V108" s="81">
        <v>0.8</v>
      </c>
      <c r="W108" s="81">
        <v>0.6</v>
      </c>
      <c r="X108" s="81">
        <v>0.2</v>
      </c>
      <c r="Y108" s="81">
        <v>0.2</v>
      </c>
      <c r="Z108" s="81">
        <v>0.2</v>
      </c>
      <c r="AA108" s="81">
        <v>0.1</v>
      </c>
      <c r="AB108" s="81">
        <v>0</v>
      </c>
      <c r="AC108" s="84">
        <v>0</v>
      </c>
      <c r="AD108" s="41"/>
      <c r="AE108" s="41"/>
      <c r="AF108" s="41"/>
      <c r="AG108" s="41"/>
      <c r="AH108" s="41"/>
      <c r="AI108" s="41"/>
      <c r="AJ108" s="41"/>
      <c r="AK108" s="41"/>
      <c r="AO108"/>
      <c r="AP108"/>
      <c r="AQ108" s="585"/>
      <c r="AR108" s="586"/>
      <c r="AS108" s="586"/>
      <c r="AT108" s="586"/>
      <c r="AU108" s="586"/>
      <c r="AV108" s="586"/>
      <c r="AW108" s="586"/>
      <c r="AX108" s="586"/>
      <c r="AY108" s="586"/>
      <c r="AZ108" s="586"/>
      <c r="BA108" s="586"/>
      <c r="BB108" s="586"/>
      <c r="BC108" s="586"/>
      <c r="BD108" s="586"/>
      <c r="BE108" s="586"/>
      <c r="BF108" s="586"/>
      <c r="BG108" s="586"/>
      <c r="BH108" s="586"/>
      <c r="BI108" s="586"/>
      <c r="BJ108" s="586"/>
      <c r="BK108" s="586"/>
      <c r="BL108" s="586"/>
      <c r="BM108" s="586"/>
      <c r="BN108" s="586"/>
      <c r="BO108" s="586"/>
    </row>
    <row r="109" spans="1:67" ht="30.6" customHeight="1" thickBot="1">
      <c r="A109" s="1064"/>
      <c r="B109" s="1130"/>
      <c r="C109" s="1130"/>
      <c r="D109" s="1127"/>
      <c r="E109" s="107" t="s">
        <v>526</v>
      </c>
      <c r="F109" s="82">
        <v>0</v>
      </c>
      <c r="G109" s="82">
        <v>0</v>
      </c>
      <c r="H109" s="82">
        <v>0</v>
      </c>
      <c r="I109" s="82">
        <v>0</v>
      </c>
      <c r="J109" s="82">
        <v>0</v>
      </c>
      <c r="K109" s="82">
        <v>0</v>
      </c>
      <c r="L109" s="82">
        <v>0</v>
      </c>
      <c r="M109" s="82">
        <v>0</v>
      </c>
      <c r="N109" s="82">
        <v>0</v>
      </c>
      <c r="O109" s="82">
        <v>0.1</v>
      </c>
      <c r="P109" s="82">
        <v>0.2</v>
      </c>
      <c r="Q109" s="82">
        <v>0.2</v>
      </c>
      <c r="R109" s="82">
        <v>0.4</v>
      </c>
      <c r="S109" s="82">
        <v>0.4</v>
      </c>
      <c r="T109" s="82">
        <v>0.4</v>
      </c>
      <c r="U109" s="82">
        <v>0.4</v>
      </c>
      <c r="V109" s="82">
        <v>0.4</v>
      </c>
      <c r="W109" s="82">
        <v>0.2</v>
      </c>
      <c r="X109" s="82">
        <v>0.1</v>
      </c>
      <c r="Y109" s="82">
        <v>0</v>
      </c>
      <c r="Z109" s="82">
        <v>0</v>
      </c>
      <c r="AA109" s="82">
        <v>0</v>
      </c>
      <c r="AB109" s="82">
        <v>0</v>
      </c>
      <c r="AC109" s="85">
        <v>0</v>
      </c>
      <c r="AD109" s="41"/>
      <c r="AE109" s="41"/>
      <c r="AF109" s="41"/>
      <c r="AG109" s="41"/>
      <c r="AH109" s="41"/>
      <c r="AI109" s="41"/>
      <c r="AJ109" s="41"/>
      <c r="AK109" s="41"/>
      <c r="AO109"/>
      <c r="AP109"/>
      <c r="AQ109" s="585"/>
      <c r="AR109" s="586"/>
      <c r="AS109" s="586"/>
      <c r="AT109" s="586"/>
      <c r="AU109" s="586"/>
      <c r="AV109" s="586"/>
      <c r="AW109" s="586"/>
      <c r="AX109" s="586"/>
      <c r="AY109" s="586"/>
      <c r="AZ109" s="586"/>
      <c r="BA109" s="586"/>
      <c r="BB109" s="586"/>
      <c r="BC109" s="586"/>
      <c r="BD109" s="586"/>
      <c r="BE109" s="586"/>
      <c r="BF109" s="586"/>
      <c r="BG109" s="586"/>
      <c r="BH109" s="586"/>
      <c r="BI109" s="586"/>
      <c r="BJ109" s="586"/>
      <c r="BK109" s="586"/>
      <c r="BL109" s="586"/>
      <c r="BM109" s="586"/>
      <c r="BN109" s="586"/>
      <c r="BO109" s="586"/>
    </row>
    <row r="110" spans="1:67" ht="30.6" customHeight="1">
      <c r="A110" s="1063" t="str">
        <f>A107</f>
        <v>Retails</v>
      </c>
      <c r="B110" s="1124" t="str">
        <f>B107</f>
        <v>Retail</v>
      </c>
      <c r="C110" s="1101" t="s">
        <v>708</v>
      </c>
      <c r="D110" s="1125" t="s">
        <v>728</v>
      </c>
      <c r="E110" s="524" t="s">
        <v>517</v>
      </c>
      <c r="F110" s="547">
        <v>0.05</v>
      </c>
      <c r="G110" s="547">
        <v>0.05</v>
      </c>
      <c r="H110" s="547">
        <v>0.05</v>
      </c>
      <c r="I110" s="547">
        <v>0.05</v>
      </c>
      <c r="J110" s="547">
        <v>0.05</v>
      </c>
      <c r="K110" s="547">
        <v>0.05</v>
      </c>
      <c r="L110" s="547">
        <v>0.05</v>
      </c>
      <c r="M110" s="547">
        <v>0.2</v>
      </c>
      <c r="N110" s="547">
        <v>0.5</v>
      </c>
      <c r="O110" s="547">
        <v>0.85</v>
      </c>
      <c r="P110" s="547">
        <v>0.85</v>
      </c>
      <c r="Q110" s="547">
        <v>0.85</v>
      </c>
      <c r="R110" s="547">
        <v>0.85</v>
      </c>
      <c r="S110" s="547">
        <v>0.85</v>
      </c>
      <c r="T110" s="547">
        <v>0.85</v>
      </c>
      <c r="U110" s="547">
        <v>0.85</v>
      </c>
      <c r="V110" s="547">
        <v>0.85</v>
      </c>
      <c r="W110" s="547">
        <v>0.85</v>
      </c>
      <c r="X110" s="547">
        <v>0.55000000000000004</v>
      </c>
      <c r="Y110" s="547">
        <v>0.55000000000000004</v>
      </c>
      <c r="Z110" s="547">
        <v>0.5</v>
      </c>
      <c r="AA110" s="547">
        <v>0.2</v>
      </c>
      <c r="AB110" s="547">
        <v>0.05</v>
      </c>
      <c r="AC110" s="548">
        <v>0.05</v>
      </c>
      <c r="AD110" s="41"/>
      <c r="AE110" s="41"/>
      <c r="AF110" s="41"/>
      <c r="AG110" s="41"/>
      <c r="AH110" s="41"/>
      <c r="AI110" s="41"/>
      <c r="AJ110" s="41"/>
      <c r="AK110" s="41"/>
      <c r="AO110"/>
      <c r="AP110"/>
      <c r="AQ110" s="585"/>
      <c r="AR110" s="586"/>
      <c r="AS110" s="586"/>
      <c r="AT110" s="586"/>
      <c r="AU110" s="586"/>
      <c r="AV110" s="586"/>
      <c r="AW110" s="586"/>
      <c r="AX110" s="586"/>
      <c r="AY110" s="586"/>
      <c r="AZ110" s="586"/>
      <c r="BA110" s="586"/>
      <c r="BB110" s="586"/>
      <c r="BC110" s="586"/>
      <c r="BD110" s="586"/>
      <c r="BE110" s="586"/>
      <c r="BF110" s="586"/>
      <c r="BG110" s="586"/>
      <c r="BH110" s="586"/>
      <c r="BI110" s="586"/>
      <c r="BJ110" s="586"/>
      <c r="BK110" s="586"/>
      <c r="BL110" s="586"/>
      <c r="BM110" s="586"/>
      <c r="BN110" s="586"/>
      <c r="BO110" s="586"/>
    </row>
    <row r="111" spans="1:67" ht="30.6" customHeight="1">
      <c r="A111" s="1058"/>
      <c r="B111" s="1096"/>
      <c r="C111" s="1090"/>
      <c r="D111" s="1126"/>
      <c r="E111" s="525" t="s">
        <v>524</v>
      </c>
      <c r="F111" s="549">
        <v>0.05</v>
      </c>
      <c r="G111" s="549">
        <v>0.05</v>
      </c>
      <c r="H111" s="549">
        <v>0.05</v>
      </c>
      <c r="I111" s="549">
        <v>0.05</v>
      </c>
      <c r="J111" s="549">
        <v>0.05</v>
      </c>
      <c r="K111" s="549">
        <v>0.05</v>
      </c>
      <c r="L111" s="549">
        <v>0.05</v>
      </c>
      <c r="M111" s="549">
        <v>0.1</v>
      </c>
      <c r="N111" s="549">
        <v>0.3</v>
      </c>
      <c r="O111" s="549">
        <v>0.55000000000000004</v>
      </c>
      <c r="P111" s="549">
        <v>0.85</v>
      </c>
      <c r="Q111" s="549">
        <v>0.85</v>
      </c>
      <c r="R111" s="549">
        <v>0.85</v>
      </c>
      <c r="S111" s="549">
        <v>0.85</v>
      </c>
      <c r="T111" s="549">
        <v>0.85</v>
      </c>
      <c r="U111" s="549">
        <v>0.85</v>
      </c>
      <c r="V111" s="549">
        <v>0.85</v>
      </c>
      <c r="W111" s="549">
        <v>0.85</v>
      </c>
      <c r="X111" s="549">
        <v>0.5</v>
      </c>
      <c r="Y111" s="549">
        <v>0.3</v>
      </c>
      <c r="Z111" s="549">
        <v>0.3</v>
      </c>
      <c r="AA111" s="549">
        <v>0.1</v>
      </c>
      <c r="AB111" s="549">
        <v>0.05</v>
      </c>
      <c r="AC111" s="550">
        <v>0.05</v>
      </c>
      <c r="AD111" s="41"/>
      <c r="AE111" s="41"/>
      <c r="AF111" s="41"/>
      <c r="AG111" s="41"/>
      <c r="AH111" s="41"/>
      <c r="AI111" s="41"/>
      <c r="AJ111" s="41"/>
      <c r="AK111" s="41"/>
      <c r="AO111"/>
      <c r="AP111"/>
      <c r="AQ111" s="585"/>
      <c r="AR111" s="586"/>
      <c r="AS111" s="586"/>
      <c r="AT111" s="586"/>
      <c r="AU111" s="586"/>
      <c r="AV111" s="586"/>
      <c r="AW111" s="586"/>
      <c r="AX111" s="586"/>
      <c r="AY111" s="586"/>
      <c r="AZ111" s="586"/>
      <c r="BA111" s="586"/>
      <c r="BB111" s="586"/>
      <c r="BC111" s="586"/>
      <c r="BD111" s="586"/>
      <c r="BE111" s="586"/>
      <c r="BF111" s="586"/>
      <c r="BG111" s="586"/>
      <c r="BH111" s="586"/>
      <c r="BI111" s="586"/>
      <c r="BJ111" s="586"/>
      <c r="BK111" s="586"/>
      <c r="BL111" s="586"/>
      <c r="BM111" s="586"/>
      <c r="BN111" s="586"/>
      <c r="BO111" s="586"/>
    </row>
    <row r="112" spans="1:67" ht="30.6" customHeight="1" thickBot="1">
      <c r="A112" s="1064"/>
      <c r="B112" s="1097"/>
      <c r="C112" s="1130"/>
      <c r="D112" s="1127"/>
      <c r="E112" s="526" t="s">
        <v>526</v>
      </c>
      <c r="F112" s="551">
        <v>0.05</v>
      </c>
      <c r="G112" s="551">
        <v>0.05</v>
      </c>
      <c r="H112" s="551">
        <v>0.05</v>
      </c>
      <c r="I112" s="551">
        <v>0.05</v>
      </c>
      <c r="J112" s="551">
        <v>0.05</v>
      </c>
      <c r="K112" s="551">
        <v>0.05</v>
      </c>
      <c r="L112" s="551">
        <v>0.05</v>
      </c>
      <c r="M112" s="551">
        <v>0.05</v>
      </c>
      <c r="N112" s="551">
        <v>0.1</v>
      </c>
      <c r="O112" s="551">
        <v>0.1</v>
      </c>
      <c r="P112" s="551">
        <v>0.4</v>
      </c>
      <c r="Q112" s="551">
        <v>0.4</v>
      </c>
      <c r="R112" s="551">
        <v>0.55000000000000004</v>
      </c>
      <c r="S112" s="551">
        <v>0.55000000000000004</v>
      </c>
      <c r="T112" s="551">
        <v>0.55000000000000004</v>
      </c>
      <c r="U112" s="551">
        <v>0.55000000000000004</v>
      </c>
      <c r="V112" s="551">
        <v>0.55000000000000004</v>
      </c>
      <c r="W112" s="551">
        <v>0.4</v>
      </c>
      <c r="X112" s="551">
        <v>0.2</v>
      </c>
      <c r="Y112" s="551">
        <v>0.05</v>
      </c>
      <c r="Z112" s="551">
        <v>0.05</v>
      </c>
      <c r="AA112" s="551">
        <v>0.05</v>
      </c>
      <c r="AB112" s="551">
        <v>0.05</v>
      </c>
      <c r="AC112" s="552">
        <v>0.05</v>
      </c>
      <c r="AD112" s="41"/>
      <c r="AE112" s="41"/>
      <c r="AF112" s="41"/>
      <c r="AG112" s="41"/>
      <c r="AH112" s="41"/>
      <c r="AI112" s="41"/>
      <c r="AJ112" s="41"/>
      <c r="AK112" s="41"/>
      <c r="AO112"/>
      <c r="AP112"/>
      <c r="AQ112" s="585"/>
      <c r="AR112" s="587"/>
      <c r="AS112" s="587"/>
      <c r="AT112" s="587"/>
      <c r="AU112" s="587"/>
      <c r="AV112" s="587"/>
      <c r="AW112" s="587"/>
      <c r="AX112" s="587"/>
      <c r="AY112" s="587"/>
      <c r="AZ112" s="587"/>
      <c r="BA112" s="587"/>
      <c r="BB112" s="587"/>
      <c r="BC112" s="587"/>
      <c r="BD112" s="587"/>
      <c r="BE112" s="587"/>
      <c r="BF112" s="587"/>
      <c r="BG112" s="587"/>
      <c r="BH112" s="587"/>
      <c r="BI112" s="587"/>
      <c r="BJ112" s="587"/>
      <c r="BK112" s="587"/>
      <c r="BL112" s="587"/>
      <c r="BM112" s="587"/>
      <c r="BN112" s="587"/>
      <c r="BO112" s="587"/>
    </row>
    <row r="113" spans="1:67" ht="30.6" customHeight="1">
      <c r="A113" s="1063" t="str">
        <f>A107</f>
        <v>Retails</v>
      </c>
      <c r="B113" s="1124" t="str">
        <f>B107</f>
        <v>Retail</v>
      </c>
      <c r="C113" s="1034" t="s">
        <v>710</v>
      </c>
      <c r="D113" s="1144" t="s">
        <v>667</v>
      </c>
      <c r="E113" s="527" t="s">
        <v>517</v>
      </c>
      <c r="F113" s="528">
        <v>0.4</v>
      </c>
      <c r="G113" s="528">
        <v>0.4</v>
      </c>
      <c r="H113" s="528">
        <v>0.4</v>
      </c>
      <c r="I113" s="528">
        <v>0.4</v>
      </c>
      <c r="J113" s="528">
        <v>0.4</v>
      </c>
      <c r="K113" s="528">
        <v>0.4</v>
      </c>
      <c r="L113" s="528">
        <v>0.6</v>
      </c>
      <c r="M113" s="528">
        <v>0.6</v>
      </c>
      <c r="N113" s="528">
        <v>0.9</v>
      </c>
      <c r="O113" s="528">
        <v>0.9</v>
      </c>
      <c r="P113" s="528">
        <v>0.9</v>
      </c>
      <c r="Q113" s="528">
        <v>0.9</v>
      </c>
      <c r="R113" s="528">
        <v>0.9</v>
      </c>
      <c r="S113" s="528">
        <v>0.9</v>
      </c>
      <c r="T113" s="528">
        <v>0.9</v>
      </c>
      <c r="U113" s="528">
        <v>0.9</v>
      </c>
      <c r="V113" s="528">
        <v>0.9</v>
      </c>
      <c r="W113" s="528">
        <v>0.9</v>
      </c>
      <c r="X113" s="528">
        <v>0.9</v>
      </c>
      <c r="Y113" s="528">
        <v>0.6</v>
      </c>
      <c r="Z113" s="528">
        <v>0.6</v>
      </c>
      <c r="AA113" s="528">
        <v>0.4</v>
      </c>
      <c r="AB113" s="528">
        <v>0.4</v>
      </c>
      <c r="AC113" s="529">
        <v>0.4</v>
      </c>
      <c r="AD113" s="41"/>
      <c r="AE113" s="41"/>
      <c r="AF113" s="41"/>
      <c r="AG113" s="41"/>
      <c r="AH113" s="41"/>
      <c r="AI113" s="41"/>
      <c r="AJ113" s="41"/>
      <c r="AK113" s="41"/>
      <c r="AO113"/>
      <c r="AP113"/>
      <c r="AQ113" s="585"/>
      <c r="AR113" s="587"/>
      <c r="AS113" s="587"/>
      <c r="AT113" s="587"/>
      <c r="AU113" s="587"/>
      <c r="AV113" s="587"/>
      <c r="AW113" s="587"/>
      <c r="AX113" s="587"/>
      <c r="AY113" s="587"/>
      <c r="AZ113" s="587"/>
      <c r="BA113" s="587"/>
      <c r="BB113" s="587"/>
      <c r="BC113" s="587"/>
      <c r="BD113" s="587"/>
      <c r="BE113" s="587"/>
      <c r="BF113" s="587"/>
      <c r="BG113" s="587"/>
      <c r="BH113" s="587"/>
      <c r="BI113" s="587"/>
      <c r="BJ113" s="587"/>
      <c r="BK113" s="587"/>
      <c r="BL113" s="587"/>
      <c r="BM113" s="587"/>
      <c r="BN113" s="587"/>
      <c r="BO113" s="587"/>
    </row>
    <row r="114" spans="1:67" ht="30.6" customHeight="1">
      <c r="A114" s="1058"/>
      <c r="B114" s="1096"/>
      <c r="C114" s="1003"/>
      <c r="D114" s="1145"/>
      <c r="E114" s="525" t="s">
        <v>524</v>
      </c>
      <c r="F114" s="81">
        <v>0.4</v>
      </c>
      <c r="G114" s="81">
        <v>0.4</v>
      </c>
      <c r="H114" s="81">
        <v>0.4</v>
      </c>
      <c r="I114" s="81">
        <v>0.4</v>
      </c>
      <c r="J114" s="81">
        <v>0.4</v>
      </c>
      <c r="K114" s="81">
        <v>0.4</v>
      </c>
      <c r="L114" s="81">
        <v>0.6</v>
      </c>
      <c r="M114" s="81">
        <v>0.6</v>
      </c>
      <c r="N114" s="81">
        <v>0.9</v>
      </c>
      <c r="O114" s="81">
        <v>0.9</v>
      </c>
      <c r="P114" s="81">
        <v>0.9</v>
      </c>
      <c r="Q114" s="81">
        <v>0.9</v>
      </c>
      <c r="R114" s="81">
        <v>0.9</v>
      </c>
      <c r="S114" s="81">
        <v>0.9</v>
      </c>
      <c r="T114" s="81">
        <v>0.9</v>
      </c>
      <c r="U114" s="81">
        <v>0.9</v>
      </c>
      <c r="V114" s="81">
        <v>0.9</v>
      </c>
      <c r="W114" s="81">
        <v>0.9</v>
      </c>
      <c r="X114" s="81">
        <v>0.9</v>
      </c>
      <c r="Y114" s="81">
        <v>0.9</v>
      </c>
      <c r="Z114" s="81">
        <v>0.6</v>
      </c>
      <c r="AA114" s="81">
        <v>0.6</v>
      </c>
      <c r="AB114" s="81">
        <v>0.4</v>
      </c>
      <c r="AC114" s="530">
        <v>0.4</v>
      </c>
      <c r="AD114" s="41"/>
      <c r="AE114" s="41"/>
      <c r="AF114" s="41"/>
      <c r="AG114" s="41"/>
      <c r="AH114" s="41"/>
      <c r="AI114" s="41"/>
      <c r="AJ114" s="41"/>
      <c r="AK114" s="41"/>
      <c r="AO114"/>
      <c r="AP114"/>
      <c r="AQ114" s="585"/>
      <c r="AR114" s="587"/>
      <c r="AS114" s="587"/>
      <c r="AT114" s="587"/>
      <c r="AU114" s="587"/>
      <c r="AV114" s="587"/>
      <c r="AW114" s="587"/>
      <c r="AX114" s="587"/>
      <c r="AY114" s="587"/>
      <c r="AZ114" s="587"/>
      <c r="BA114" s="587"/>
      <c r="BB114" s="587"/>
      <c r="BC114" s="587"/>
      <c r="BD114" s="587"/>
      <c r="BE114" s="587"/>
      <c r="BF114" s="587"/>
      <c r="BG114" s="587"/>
      <c r="BH114" s="587"/>
      <c r="BI114" s="587"/>
      <c r="BJ114" s="587"/>
      <c r="BK114" s="587"/>
      <c r="BL114" s="587"/>
      <c r="BM114" s="587"/>
      <c r="BN114" s="587"/>
      <c r="BO114" s="587"/>
    </row>
    <row r="115" spans="1:67" ht="30.6" customHeight="1" thickBot="1">
      <c r="A115" s="1059"/>
      <c r="B115" s="1131"/>
      <c r="C115" s="1030"/>
      <c r="D115" s="1146"/>
      <c r="E115" s="526" t="s">
        <v>526</v>
      </c>
      <c r="F115" s="108">
        <v>0.4</v>
      </c>
      <c r="G115" s="108">
        <v>0.4</v>
      </c>
      <c r="H115" s="108">
        <v>0.4</v>
      </c>
      <c r="I115" s="108">
        <v>0.4</v>
      </c>
      <c r="J115" s="108">
        <v>0.4</v>
      </c>
      <c r="K115" s="108">
        <v>0.4</v>
      </c>
      <c r="L115" s="108">
        <v>0.4</v>
      </c>
      <c r="M115" s="108">
        <v>0.4</v>
      </c>
      <c r="N115" s="108">
        <v>0.6</v>
      </c>
      <c r="O115" s="108">
        <v>0.6</v>
      </c>
      <c r="P115" s="108">
        <v>0.6</v>
      </c>
      <c r="Q115" s="108">
        <v>0.9</v>
      </c>
      <c r="R115" s="108">
        <v>0.9</v>
      </c>
      <c r="S115" s="108">
        <v>0.9</v>
      </c>
      <c r="T115" s="108">
        <v>0.9</v>
      </c>
      <c r="U115" s="108">
        <v>0.9</v>
      </c>
      <c r="V115" s="108">
        <v>0.9</v>
      </c>
      <c r="W115" s="108">
        <v>0.6</v>
      </c>
      <c r="X115" s="108">
        <v>0.6</v>
      </c>
      <c r="Y115" s="108">
        <v>0.4</v>
      </c>
      <c r="Z115" s="108">
        <v>0.4</v>
      </c>
      <c r="AA115" s="108">
        <v>0.4</v>
      </c>
      <c r="AB115" s="108">
        <v>0.4</v>
      </c>
      <c r="AC115" s="531">
        <v>0.4</v>
      </c>
      <c r="AD115" s="41"/>
      <c r="AE115" s="41"/>
      <c r="AF115" s="41"/>
      <c r="AG115" s="41"/>
      <c r="AH115" s="41"/>
      <c r="AI115" s="41"/>
      <c r="AJ115" s="41"/>
      <c r="AK115" s="41"/>
    </row>
    <row r="116" spans="1:67" ht="30.6" customHeight="1">
      <c r="A116" s="1063" t="str">
        <f>A113</f>
        <v>Retails</v>
      </c>
      <c r="B116" s="1124" t="str">
        <f>B113</f>
        <v>Retail</v>
      </c>
      <c r="C116" s="1034" t="s">
        <v>711</v>
      </c>
      <c r="D116" s="1125" t="s">
        <v>728</v>
      </c>
      <c r="E116" s="536" t="s">
        <v>517</v>
      </c>
      <c r="F116" s="497">
        <v>0</v>
      </c>
      <c r="G116" s="497">
        <v>0</v>
      </c>
      <c r="H116" s="497">
        <v>0</v>
      </c>
      <c r="I116" s="497">
        <v>0</v>
      </c>
      <c r="J116" s="497">
        <v>0</v>
      </c>
      <c r="K116" s="497">
        <v>0</v>
      </c>
      <c r="L116" s="497">
        <v>1</v>
      </c>
      <c r="M116" s="497">
        <v>1</v>
      </c>
      <c r="N116" s="497">
        <v>1</v>
      </c>
      <c r="O116" s="497">
        <v>1</v>
      </c>
      <c r="P116" s="497">
        <v>1</v>
      </c>
      <c r="Q116" s="497">
        <v>1</v>
      </c>
      <c r="R116" s="497">
        <v>1</v>
      </c>
      <c r="S116" s="497">
        <v>1</v>
      </c>
      <c r="T116" s="497">
        <v>1</v>
      </c>
      <c r="U116" s="497">
        <v>1</v>
      </c>
      <c r="V116" s="497">
        <v>1</v>
      </c>
      <c r="W116" s="497">
        <v>1</v>
      </c>
      <c r="X116" s="497">
        <v>1</v>
      </c>
      <c r="Y116" s="497">
        <v>1</v>
      </c>
      <c r="Z116" s="497">
        <v>1</v>
      </c>
      <c r="AA116" s="497">
        <v>0</v>
      </c>
      <c r="AB116" s="497">
        <v>0</v>
      </c>
      <c r="AC116" s="498">
        <v>0</v>
      </c>
      <c r="AD116" s="41"/>
      <c r="AE116" s="41"/>
      <c r="AF116" s="41"/>
      <c r="AG116" s="41"/>
      <c r="AH116" s="41"/>
      <c r="AI116" s="41"/>
      <c r="AJ116" s="41"/>
      <c r="AK116" s="41"/>
    </row>
    <row r="117" spans="1:67" ht="30.6" customHeight="1">
      <c r="A117" s="1058"/>
      <c r="B117" s="1096"/>
      <c r="C117" s="1003"/>
      <c r="D117" s="1126"/>
      <c r="E117" s="537" t="s">
        <v>524</v>
      </c>
      <c r="F117" s="496">
        <v>0</v>
      </c>
      <c r="G117" s="496">
        <v>0</v>
      </c>
      <c r="H117" s="496">
        <v>0</v>
      </c>
      <c r="I117" s="496">
        <v>0</v>
      </c>
      <c r="J117" s="496">
        <v>0</v>
      </c>
      <c r="K117" s="496">
        <v>0</v>
      </c>
      <c r="L117" s="496">
        <v>1</v>
      </c>
      <c r="M117" s="496">
        <v>1</v>
      </c>
      <c r="N117" s="496">
        <v>1</v>
      </c>
      <c r="O117" s="496">
        <v>1</v>
      </c>
      <c r="P117" s="496">
        <v>1</v>
      </c>
      <c r="Q117" s="496">
        <v>1</v>
      </c>
      <c r="R117" s="496">
        <v>1</v>
      </c>
      <c r="S117" s="496">
        <v>1</v>
      </c>
      <c r="T117" s="496">
        <v>1</v>
      </c>
      <c r="U117" s="496">
        <v>1</v>
      </c>
      <c r="V117" s="496">
        <v>1</v>
      </c>
      <c r="W117" s="496">
        <v>1</v>
      </c>
      <c r="X117" s="496">
        <v>1</v>
      </c>
      <c r="Y117" s="496">
        <v>1</v>
      </c>
      <c r="Z117" s="496">
        <v>1</v>
      </c>
      <c r="AA117" s="496">
        <v>1</v>
      </c>
      <c r="AB117" s="496">
        <v>0</v>
      </c>
      <c r="AC117" s="499">
        <v>0</v>
      </c>
      <c r="AD117" s="41"/>
      <c r="AE117" s="41"/>
      <c r="AF117" s="41"/>
      <c r="AG117" s="41"/>
      <c r="AH117" s="41"/>
      <c r="AI117" s="41"/>
      <c r="AJ117" s="41"/>
      <c r="AK117" s="41"/>
    </row>
    <row r="118" spans="1:67" ht="30.6" customHeight="1" thickBot="1">
      <c r="A118" s="1059"/>
      <c r="B118" s="1131"/>
      <c r="C118" s="1036"/>
      <c r="D118" s="1127"/>
      <c r="E118" s="538" t="s">
        <v>526</v>
      </c>
      <c r="F118" s="500">
        <v>0</v>
      </c>
      <c r="G118" s="500">
        <v>0</v>
      </c>
      <c r="H118" s="500">
        <v>0</v>
      </c>
      <c r="I118" s="500">
        <v>0</v>
      </c>
      <c r="J118" s="500">
        <v>0</v>
      </c>
      <c r="K118" s="500">
        <v>0</v>
      </c>
      <c r="L118" s="500">
        <v>0</v>
      </c>
      <c r="M118" s="500">
        <v>0</v>
      </c>
      <c r="N118" s="500">
        <v>1</v>
      </c>
      <c r="O118" s="500">
        <v>1</v>
      </c>
      <c r="P118" s="500">
        <v>1</v>
      </c>
      <c r="Q118" s="500">
        <v>1</v>
      </c>
      <c r="R118" s="500">
        <v>1</v>
      </c>
      <c r="S118" s="500">
        <v>1</v>
      </c>
      <c r="T118" s="500">
        <v>1</v>
      </c>
      <c r="U118" s="500">
        <v>1</v>
      </c>
      <c r="V118" s="500">
        <v>1</v>
      </c>
      <c r="W118" s="500">
        <v>1</v>
      </c>
      <c r="X118" s="500">
        <v>1</v>
      </c>
      <c r="Y118" s="500">
        <v>0</v>
      </c>
      <c r="Z118" s="500">
        <v>0</v>
      </c>
      <c r="AA118" s="500">
        <v>0</v>
      </c>
      <c r="AB118" s="500">
        <v>0</v>
      </c>
      <c r="AC118" s="501">
        <v>0</v>
      </c>
      <c r="AD118" s="41"/>
      <c r="AE118" s="41"/>
      <c r="AF118" s="41"/>
      <c r="AG118" s="41"/>
      <c r="AH118" s="41"/>
      <c r="AI118" s="41"/>
      <c r="AJ118" s="41"/>
      <c r="AK118" s="41"/>
    </row>
    <row r="119" spans="1:67" ht="30.6" customHeight="1">
      <c r="A119" s="1057" t="str">
        <f>A113</f>
        <v>Retails</v>
      </c>
      <c r="B119" s="1128" t="str">
        <f>B113</f>
        <v>Retail</v>
      </c>
      <c r="C119" s="1147" t="s">
        <v>713</v>
      </c>
      <c r="D119" s="1125" t="s">
        <v>728</v>
      </c>
      <c r="E119" s="536" t="s">
        <v>517</v>
      </c>
      <c r="F119" s="497">
        <v>0.04</v>
      </c>
      <c r="G119" s="497">
        <v>0.05</v>
      </c>
      <c r="H119" s="497">
        <v>0.05</v>
      </c>
      <c r="I119" s="497">
        <v>0.04</v>
      </c>
      <c r="J119" s="497">
        <v>0.04</v>
      </c>
      <c r="K119" s="497">
        <v>0.04</v>
      </c>
      <c r="L119" s="497">
        <v>0.04</v>
      </c>
      <c r="M119" s="497">
        <v>0.15</v>
      </c>
      <c r="N119" s="497">
        <v>0.23</v>
      </c>
      <c r="O119" s="497">
        <v>0.32</v>
      </c>
      <c r="P119" s="497">
        <v>0.41</v>
      </c>
      <c r="Q119" s="497">
        <v>0.56999999999999995</v>
      </c>
      <c r="R119" s="497">
        <v>0.62</v>
      </c>
      <c r="S119" s="497">
        <v>0.61</v>
      </c>
      <c r="T119" s="497">
        <v>0.5</v>
      </c>
      <c r="U119" s="497">
        <v>0.45</v>
      </c>
      <c r="V119" s="497">
        <v>0.46</v>
      </c>
      <c r="W119" s="497">
        <v>0.47</v>
      </c>
      <c r="X119" s="497">
        <v>0.42</v>
      </c>
      <c r="Y119" s="497">
        <v>0.34</v>
      </c>
      <c r="Z119" s="497">
        <v>0.33</v>
      </c>
      <c r="AA119" s="497">
        <v>0.23</v>
      </c>
      <c r="AB119" s="497">
        <v>0.13</v>
      </c>
      <c r="AC119" s="498">
        <v>0.08</v>
      </c>
      <c r="AD119" s="41"/>
      <c r="AE119" s="41"/>
      <c r="AF119" s="41"/>
      <c r="AG119" s="41"/>
      <c r="AH119" s="41"/>
      <c r="AI119" s="41"/>
      <c r="AJ119" s="41"/>
      <c r="AK119" s="41"/>
    </row>
    <row r="120" spans="1:67" ht="30.6" customHeight="1">
      <c r="A120" s="1058"/>
      <c r="B120" s="1096"/>
      <c r="C120" s="1147"/>
      <c r="D120" s="1126"/>
      <c r="E120" s="537" t="s">
        <v>524</v>
      </c>
      <c r="F120" s="496">
        <v>0.11</v>
      </c>
      <c r="G120" s="496">
        <v>0.1</v>
      </c>
      <c r="H120" s="496">
        <v>0.08</v>
      </c>
      <c r="I120" s="496">
        <v>0.06</v>
      </c>
      <c r="J120" s="496">
        <v>0.06</v>
      </c>
      <c r="K120" s="496">
        <v>0.06</v>
      </c>
      <c r="L120" s="496">
        <v>7.0000000000000007E-2</v>
      </c>
      <c r="M120" s="496">
        <v>0.2</v>
      </c>
      <c r="N120" s="496">
        <v>0.24</v>
      </c>
      <c r="O120" s="496">
        <v>0.27</v>
      </c>
      <c r="P120" s="496">
        <v>0.42</v>
      </c>
      <c r="Q120" s="496">
        <v>0.54</v>
      </c>
      <c r="R120" s="496">
        <v>0.59</v>
      </c>
      <c r="S120" s="496">
        <v>0.6</v>
      </c>
      <c r="T120" s="496">
        <v>0.49</v>
      </c>
      <c r="U120" s="496">
        <v>0.48</v>
      </c>
      <c r="V120" s="496">
        <v>0.47</v>
      </c>
      <c r="W120" s="496">
        <v>0.46</v>
      </c>
      <c r="X120" s="496">
        <v>0.44</v>
      </c>
      <c r="Y120" s="496">
        <v>0.36</v>
      </c>
      <c r="Z120" s="496">
        <v>0.28999999999999998</v>
      </c>
      <c r="AA120" s="496">
        <v>0.22</v>
      </c>
      <c r="AB120" s="496">
        <v>0.16</v>
      </c>
      <c r="AC120" s="499">
        <v>0.13</v>
      </c>
      <c r="AD120" s="41"/>
      <c r="AE120" s="41"/>
      <c r="AF120" s="41"/>
      <c r="AG120" s="41"/>
      <c r="AH120" s="41"/>
      <c r="AI120" s="41"/>
      <c r="AJ120" s="41"/>
      <c r="AK120" s="41"/>
    </row>
    <row r="121" spans="1:67" ht="30.6" customHeight="1" thickBot="1">
      <c r="A121" s="1064"/>
      <c r="B121" s="1097"/>
      <c r="C121" s="1147"/>
      <c r="D121" s="1127"/>
      <c r="E121" s="538" t="s">
        <v>526</v>
      </c>
      <c r="F121" s="500">
        <v>7.0000000000000007E-2</v>
      </c>
      <c r="G121" s="500">
        <v>7.0000000000000007E-2</v>
      </c>
      <c r="H121" s="500">
        <v>7.0000000000000007E-2</v>
      </c>
      <c r="I121" s="500">
        <v>0.06</v>
      </c>
      <c r="J121" s="500">
        <v>0.06</v>
      </c>
      <c r="K121" s="500">
        <v>0.06</v>
      </c>
      <c r="L121" s="500">
        <v>7.0000000000000007E-2</v>
      </c>
      <c r="M121" s="500">
        <v>0.1</v>
      </c>
      <c r="N121" s="500">
        <v>0.12</v>
      </c>
      <c r="O121" s="500">
        <v>0.14000000000000001</v>
      </c>
      <c r="P121" s="500">
        <v>0.28999999999999998</v>
      </c>
      <c r="Q121" s="500">
        <v>0.31</v>
      </c>
      <c r="R121" s="500">
        <v>0.36</v>
      </c>
      <c r="S121" s="500">
        <v>0.36</v>
      </c>
      <c r="T121" s="500">
        <v>0.34</v>
      </c>
      <c r="U121" s="500">
        <v>0.35</v>
      </c>
      <c r="V121" s="500">
        <v>0.37</v>
      </c>
      <c r="W121" s="500">
        <v>0.34</v>
      </c>
      <c r="X121" s="500">
        <v>0.25</v>
      </c>
      <c r="Y121" s="500">
        <v>0.27</v>
      </c>
      <c r="Z121" s="500">
        <v>0.21</v>
      </c>
      <c r="AA121" s="500">
        <v>0.16</v>
      </c>
      <c r="AB121" s="500">
        <v>0.1</v>
      </c>
      <c r="AC121" s="501">
        <v>0.06</v>
      </c>
      <c r="AD121" s="41"/>
      <c r="AE121" s="41"/>
      <c r="AF121" s="41"/>
      <c r="AG121" s="41"/>
      <c r="AH121" s="41"/>
      <c r="AI121" s="41"/>
      <c r="AJ121" s="41"/>
      <c r="AK121" s="41"/>
    </row>
    <row r="122" spans="1:67" ht="30.6" customHeight="1">
      <c r="A122" s="1063" t="str">
        <f>A116</f>
        <v>Retails</v>
      </c>
      <c r="B122" s="1124" t="str">
        <f>B116</f>
        <v>Retail</v>
      </c>
      <c r="C122" s="1153" t="s">
        <v>308</v>
      </c>
      <c r="D122" s="1125" t="s">
        <v>728</v>
      </c>
      <c r="E122" s="536" t="s">
        <v>517</v>
      </c>
      <c r="F122" s="497">
        <v>1</v>
      </c>
      <c r="G122" s="497">
        <v>1</v>
      </c>
      <c r="H122" s="497">
        <v>1</v>
      </c>
      <c r="I122" s="497">
        <v>1</v>
      </c>
      <c r="J122" s="497">
        <v>1</v>
      </c>
      <c r="K122" s="497">
        <v>1</v>
      </c>
      <c r="L122" s="497">
        <v>0.25</v>
      </c>
      <c r="M122" s="497">
        <v>0.25</v>
      </c>
      <c r="N122" s="497">
        <v>0.25</v>
      </c>
      <c r="O122" s="497">
        <v>0.25</v>
      </c>
      <c r="P122" s="497">
        <v>0.25</v>
      </c>
      <c r="Q122" s="497">
        <v>0.25</v>
      </c>
      <c r="R122" s="497">
        <v>0.25</v>
      </c>
      <c r="S122" s="497">
        <v>0.25</v>
      </c>
      <c r="T122" s="497">
        <v>0.25</v>
      </c>
      <c r="U122" s="497">
        <v>0.25</v>
      </c>
      <c r="V122" s="497">
        <v>0.25</v>
      </c>
      <c r="W122" s="497">
        <v>0.25</v>
      </c>
      <c r="X122" s="497">
        <v>0.25</v>
      </c>
      <c r="Y122" s="497">
        <v>0.25</v>
      </c>
      <c r="Z122" s="497">
        <v>0.25</v>
      </c>
      <c r="AA122" s="497">
        <v>1</v>
      </c>
      <c r="AB122" s="497">
        <v>1</v>
      </c>
      <c r="AC122" s="498">
        <v>1</v>
      </c>
      <c r="AD122" s="41"/>
      <c r="AE122" s="41"/>
      <c r="AF122" s="41"/>
      <c r="AG122" s="41"/>
      <c r="AH122" s="41"/>
      <c r="AI122" s="41"/>
      <c r="AJ122" s="41"/>
      <c r="AK122" s="41"/>
    </row>
    <row r="123" spans="1:67" ht="30.6" customHeight="1">
      <c r="A123" s="1058"/>
      <c r="B123" s="1096"/>
      <c r="C123" s="1147"/>
      <c r="D123" s="1126"/>
      <c r="E123" s="537" t="s">
        <v>524</v>
      </c>
      <c r="F123" s="496">
        <v>1</v>
      </c>
      <c r="G123" s="496">
        <v>1</v>
      </c>
      <c r="H123" s="496">
        <v>1</v>
      </c>
      <c r="I123" s="496">
        <v>1</v>
      </c>
      <c r="J123" s="496">
        <v>1</v>
      </c>
      <c r="K123" s="496">
        <v>1</v>
      </c>
      <c r="L123" s="496">
        <v>0.25</v>
      </c>
      <c r="M123" s="496">
        <v>0.25</v>
      </c>
      <c r="N123" s="496">
        <v>0.25</v>
      </c>
      <c r="O123" s="496">
        <v>0.25</v>
      </c>
      <c r="P123" s="496">
        <v>0.25</v>
      </c>
      <c r="Q123" s="496">
        <v>0.25</v>
      </c>
      <c r="R123" s="496">
        <v>0.25</v>
      </c>
      <c r="S123" s="496">
        <v>0.25</v>
      </c>
      <c r="T123" s="496">
        <v>0.25</v>
      </c>
      <c r="U123" s="496">
        <v>0.25</v>
      </c>
      <c r="V123" s="496">
        <v>0.25</v>
      </c>
      <c r="W123" s="496">
        <v>0.25</v>
      </c>
      <c r="X123" s="496">
        <v>0.25</v>
      </c>
      <c r="Y123" s="496">
        <v>0.25</v>
      </c>
      <c r="Z123" s="496">
        <v>0.25</v>
      </c>
      <c r="AA123" s="496">
        <v>0.25</v>
      </c>
      <c r="AB123" s="496">
        <v>1</v>
      </c>
      <c r="AC123" s="499">
        <v>1</v>
      </c>
      <c r="AD123" s="41"/>
      <c r="AE123" s="41"/>
      <c r="AF123" s="41"/>
      <c r="AG123" s="41"/>
      <c r="AH123" s="41"/>
      <c r="AI123" s="41"/>
      <c r="AJ123" s="41"/>
      <c r="AK123" s="41"/>
    </row>
    <row r="124" spans="1:67" ht="30.6" customHeight="1" thickBot="1">
      <c r="A124" s="1059"/>
      <c r="B124" s="1131"/>
      <c r="C124" s="1154"/>
      <c r="D124" s="1127"/>
      <c r="E124" s="538" t="s">
        <v>526</v>
      </c>
      <c r="F124" s="500">
        <v>1</v>
      </c>
      <c r="G124" s="500">
        <v>1</v>
      </c>
      <c r="H124" s="500">
        <v>1</v>
      </c>
      <c r="I124" s="500">
        <v>1</v>
      </c>
      <c r="J124" s="500">
        <v>1</v>
      </c>
      <c r="K124" s="500">
        <v>1</v>
      </c>
      <c r="L124" s="500">
        <v>1</v>
      </c>
      <c r="M124" s="500">
        <v>1</v>
      </c>
      <c r="N124" s="500">
        <v>0.25</v>
      </c>
      <c r="O124" s="500">
        <v>0.25</v>
      </c>
      <c r="P124" s="500">
        <v>0.25</v>
      </c>
      <c r="Q124" s="500">
        <v>0.25</v>
      </c>
      <c r="R124" s="500">
        <v>0.25</v>
      </c>
      <c r="S124" s="500">
        <v>0.25</v>
      </c>
      <c r="T124" s="500">
        <v>0.25</v>
      </c>
      <c r="U124" s="500">
        <v>0.25</v>
      </c>
      <c r="V124" s="500">
        <v>0.25</v>
      </c>
      <c r="W124" s="500">
        <v>0.25</v>
      </c>
      <c r="X124" s="500">
        <v>0.25</v>
      </c>
      <c r="Y124" s="500">
        <v>1</v>
      </c>
      <c r="Z124" s="500">
        <v>1</v>
      </c>
      <c r="AA124" s="500">
        <v>1</v>
      </c>
      <c r="AB124" s="500">
        <v>1</v>
      </c>
      <c r="AC124" s="501">
        <v>1</v>
      </c>
      <c r="AD124" s="41"/>
      <c r="AE124" s="41"/>
      <c r="AF124" s="41"/>
      <c r="AG124" s="41"/>
      <c r="AH124" s="41"/>
      <c r="AI124" s="41"/>
      <c r="AJ124" s="41"/>
      <c r="AK124" s="41"/>
    </row>
    <row r="125" spans="1:67" ht="30.6" customHeight="1">
      <c r="A125" s="1063" t="str">
        <f>A119</f>
        <v>Retails</v>
      </c>
      <c r="B125" s="1124" t="str">
        <f>B119</f>
        <v>Retail</v>
      </c>
      <c r="C125" s="1029" t="s">
        <v>715</v>
      </c>
      <c r="D125" s="1125" t="s">
        <v>728</v>
      </c>
      <c r="E125" s="536" t="s">
        <v>517</v>
      </c>
      <c r="F125" s="553">
        <f>IF(F116=1,Thermostat!$B$3,Thermostat!$B$4)</f>
        <v>60</v>
      </c>
      <c r="G125" s="543">
        <f>IF(G116=1,Thermostat!$B$3,Thermostat!$B$4)</f>
        <v>60</v>
      </c>
      <c r="H125" s="543">
        <f>IF(H116=1,Thermostat!$B$3,Thermostat!$B$4)</f>
        <v>60</v>
      </c>
      <c r="I125" s="543">
        <f>IF(I116=1,Thermostat!$B$3,Thermostat!$B$4)</f>
        <v>60</v>
      </c>
      <c r="J125" s="543">
        <f>IF(J116=1,Thermostat!$B$3,Thermostat!$B$4)</f>
        <v>60</v>
      </c>
      <c r="K125" s="543">
        <f>IF(K116=1,Thermostat!$B$3,Thermostat!$B$4)</f>
        <v>60</v>
      </c>
      <c r="L125" s="543">
        <f>IF(L116=1,Thermostat!$B$3,Thermostat!$B$4)</f>
        <v>70</v>
      </c>
      <c r="M125" s="543">
        <f>IF(M116=1,Thermostat!$B$3,Thermostat!$B$4)</f>
        <v>70</v>
      </c>
      <c r="N125" s="543">
        <f>IF(N116=1,Thermostat!$B$3,Thermostat!$B$4)</f>
        <v>70</v>
      </c>
      <c r="O125" s="543">
        <f>IF(O116=1,Thermostat!$B$3,Thermostat!$B$4)</f>
        <v>70</v>
      </c>
      <c r="P125" s="543">
        <f>IF(P116=1,Thermostat!$B$3,Thermostat!$B$4)</f>
        <v>70</v>
      </c>
      <c r="Q125" s="543">
        <f>IF(Q116=1,Thermostat!$B$3,Thermostat!$B$4)</f>
        <v>70</v>
      </c>
      <c r="R125" s="543">
        <f>IF(R116=1,Thermostat!$B$3,Thermostat!$B$4)</f>
        <v>70</v>
      </c>
      <c r="S125" s="543">
        <f>IF(S116=1,Thermostat!$B$3,Thermostat!$B$4)</f>
        <v>70</v>
      </c>
      <c r="T125" s="543">
        <f>IF(T116=1,Thermostat!$B$3,Thermostat!$B$4)</f>
        <v>70</v>
      </c>
      <c r="U125" s="543">
        <f>IF(U116=1,Thermostat!$B$3,Thermostat!$B$4)</f>
        <v>70</v>
      </c>
      <c r="V125" s="543">
        <f>IF(V116=1,Thermostat!$B$3,Thermostat!$B$4)</f>
        <v>70</v>
      </c>
      <c r="W125" s="543">
        <f>IF(W116=1,Thermostat!$B$3,Thermostat!$B$4)</f>
        <v>70</v>
      </c>
      <c r="X125" s="543">
        <f>IF(X116=1,Thermostat!$B$3,Thermostat!$B$4)</f>
        <v>70</v>
      </c>
      <c r="Y125" s="543">
        <f>IF(Y116=1,Thermostat!$B$3,Thermostat!$B$4)</f>
        <v>70</v>
      </c>
      <c r="Z125" s="543">
        <f>IF(Z116=1,Thermostat!$B$3,Thermostat!$B$4)</f>
        <v>70</v>
      </c>
      <c r="AA125" s="543">
        <f>IF(AA116=1,Thermostat!$B$3,Thermostat!$B$4)</f>
        <v>60</v>
      </c>
      <c r="AB125" s="543">
        <f>IF(AB116=1,Thermostat!$B$3,Thermostat!$B$4)</f>
        <v>60</v>
      </c>
      <c r="AC125" s="544">
        <f>IF(AC116=1,Thermostat!$B$3,Thermostat!$B$4)</f>
        <v>60</v>
      </c>
      <c r="AD125" s="41"/>
      <c r="AE125" s="41"/>
      <c r="AF125" s="41"/>
      <c r="AG125" s="41"/>
      <c r="AH125" s="41"/>
      <c r="AI125" s="41"/>
      <c r="AJ125" s="41"/>
      <c r="AK125" s="41"/>
    </row>
    <row r="126" spans="1:67" ht="30.6" customHeight="1">
      <c r="A126" s="1058"/>
      <c r="B126" s="1096"/>
      <c r="C126" s="1003"/>
      <c r="D126" s="1126"/>
      <c r="E126" s="537" t="s">
        <v>524</v>
      </c>
      <c r="F126" s="554">
        <f>IF(F117=1,Thermostat!$B$3,Thermostat!$B$4)</f>
        <v>60</v>
      </c>
      <c r="G126" s="545">
        <f>IF(G117=1,Thermostat!$B$3,Thermostat!$B$4)</f>
        <v>60</v>
      </c>
      <c r="H126" s="545">
        <f>IF(H117=1,Thermostat!$B$3,Thermostat!$B$4)</f>
        <v>60</v>
      </c>
      <c r="I126" s="545">
        <f>IF(I117=1,Thermostat!$B$3,Thermostat!$B$4)</f>
        <v>60</v>
      </c>
      <c r="J126" s="545">
        <f>IF(J117=1,Thermostat!$B$3,Thermostat!$B$4)</f>
        <v>60</v>
      </c>
      <c r="K126" s="545">
        <f>IF(K117=1,Thermostat!$B$3,Thermostat!$B$4)</f>
        <v>60</v>
      </c>
      <c r="L126" s="545">
        <f>IF(L117=1,Thermostat!$B$3,Thermostat!$B$4)</f>
        <v>70</v>
      </c>
      <c r="M126" s="545">
        <f>IF(M117=1,Thermostat!$B$3,Thermostat!$B$4)</f>
        <v>70</v>
      </c>
      <c r="N126" s="545">
        <f>IF(N117=1,Thermostat!$B$3,Thermostat!$B$4)</f>
        <v>70</v>
      </c>
      <c r="O126" s="545">
        <f>IF(O117=1,Thermostat!$B$3,Thermostat!$B$4)</f>
        <v>70</v>
      </c>
      <c r="P126" s="545">
        <f>IF(P117=1,Thermostat!$B$3,Thermostat!$B$4)</f>
        <v>70</v>
      </c>
      <c r="Q126" s="545">
        <f>IF(Q117=1,Thermostat!$B$3,Thermostat!$B$4)</f>
        <v>70</v>
      </c>
      <c r="R126" s="545">
        <f>IF(R117=1,Thermostat!$B$3,Thermostat!$B$4)</f>
        <v>70</v>
      </c>
      <c r="S126" s="545">
        <f>IF(S117=1,Thermostat!$B$3,Thermostat!$B$4)</f>
        <v>70</v>
      </c>
      <c r="T126" s="545">
        <f>IF(T117=1,Thermostat!$B$3,Thermostat!$B$4)</f>
        <v>70</v>
      </c>
      <c r="U126" s="545">
        <f>IF(U117=1,Thermostat!$B$3,Thermostat!$B$4)</f>
        <v>70</v>
      </c>
      <c r="V126" s="545">
        <f>IF(V117=1,Thermostat!$B$3,Thermostat!$B$4)</f>
        <v>70</v>
      </c>
      <c r="W126" s="545">
        <f>IF(W117=1,Thermostat!$B$3,Thermostat!$B$4)</f>
        <v>70</v>
      </c>
      <c r="X126" s="545">
        <f>IF(X117=1,Thermostat!$B$3,Thermostat!$B$4)</f>
        <v>70</v>
      </c>
      <c r="Y126" s="545">
        <f>IF(Y117=1,Thermostat!$B$3,Thermostat!$B$4)</f>
        <v>70</v>
      </c>
      <c r="Z126" s="545">
        <f>IF(Z117=1,Thermostat!$B$3,Thermostat!$B$4)</f>
        <v>70</v>
      </c>
      <c r="AA126" s="545">
        <f>IF(AA117=1,Thermostat!$B$3,Thermostat!$B$4)</f>
        <v>70</v>
      </c>
      <c r="AB126" s="545">
        <f>IF(AB117=1,Thermostat!$B$3,Thermostat!$B$4)</f>
        <v>60</v>
      </c>
      <c r="AC126" s="546">
        <f>IF(AC117=1,Thermostat!$B$3,Thermostat!$B$4)</f>
        <v>60</v>
      </c>
      <c r="AD126" s="41"/>
      <c r="AE126" s="41"/>
      <c r="AF126" s="41"/>
      <c r="AG126" s="41"/>
      <c r="AH126" s="41"/>
      <c r="AI126" s="41"/>
      <c r="AJ126" s="41"/>
      <c r="AK126" s="41"/>
    </row>
    <row r="127" spans="1:67" ht="30.6" customHeight="1" thickBot="1">
      <c r="A127" s="1064"/>
      <c r="B127" s="1097"/>
      <c r="C127" s="1030"/>
      <c r="D127" s="1127"/>
      <c r="E127" s="555" t="s">
        <v>526</v>
      </c>
      <c r="F127" s="554">
        <f>IF(F118=1,Thermostat!$B$3,Thermostat!$B$4)</f>
        <v>60</v>
      </c>
      <c r="G127" s="545">
        <f>IF(G118=1,Thermostat!$B$3,Thermostat!$B$4)</f>
        <v>60</v>
      </c>
      <c r="H127" s="545">
        <f>IF(H118=1,Thermostat!$B$3,Thermostat!$B$4)</f>
        <v>60</v>
      </c>
      <c r="I127" s="545">
        <f>IF(I118=1,Thermostat!$B$3,Thermostat!$B$4)</f>
        <v>60</v>
      </c>
      <c r="J127" s="545">
        <f>IF(J118=1,Thermostat!$B$3,Thermostat!$B$4)</f>
        <v>60</v>
      </c>
      <c r="K127" s="545">
        <f>IF(K118=1,Thermostat!$B$3,Thermostat!$B$4)</f>
        <v>60</v>
      </c>
      <c r="L127" s="545">
        <f>IF(L118=1,Thermostat!$B$3,Thermostat!$B$4)</f>
        <v>60</v>
      </c>
      <c r="M127" s="545">
        <f>IF(M118=1,Thermostat!$B$3,Thermostat!$B$4)</f>
        <v>60</v>
      </c>
      <c r="N127" s="545">
        <f>IF(N118=1,Thermostat!$B$3,Thermostat!$B$4)</f>
        <v>70</v>
      </c>
      <c r="O127" s="545">
        <f>IF(O118=1,Thermostat!$B$3,Thermostat!$B$4)</f>
        <v>70</v>
      </c>
      <c r="P127" s="545">
        <f>IF(P118=1,Thermostat!$B$3,Thermostat!$B$4)</f>
        <v>70</v>
      </c>
      <c r="Q127" s="545">
        <f>IF(Q118=1,Thermostat!$B$3,Thermostat!$B$4)</f>
        <v>70</v>
      </c>
      <c r="R127" s="545">
        <f>IF(R118=1,Thermostat!$B$3,Thermostat!$B$4)</f>
        <v>70</v>
      </c>
      <c r="S127" s="545">
        <f>IF(S118=1,Thermostat!$B$3,Thermostat!$B$4)</f>
        <v>70</v>
      </c>
      <c r="T127" s="545">
        <f>IF(T118=1,Thermostat!$B$3,Thermostat!$B$4)</f>
        <v>70</v>
      </c>
      <c r="U127" s="545">
        <f>IF(U118=1,Thermostat!$B$3,Thermostat!$B$4)</f>
        <v>70</v>
      </c>
      <c r="V127" s="545">
        <f>IF(V118=1,Thermostat!$B$3,Thermostat!$B$4)</f>
        <v>70</v>
      </c>
      <c r="W127" s="545">
        <f>IF(W118=1,Thermostat!$B$3,Thermostat!$B$4)</f>
        <v>70</v>
      </c>
      <c r="X127" s="545">
        <f>IF(X118=1,Thermostat!$B$3,Thermostat!$B$4)</f>
        <v>70</v>
      </c>
      <c r="Y127" s="545">
        <f>IF(Y118=1,Thermostat!$B$3,Thermostat!$B$4)</f>
        <v>60</v>
      </c>
      <c r="Z127" s="545">
        <f>IF(Z118=1,Thermostat!$B$3,Thermostat!$B$4)</f>
        <v>60</v>
      </c>
      <c r="AA127" s="545">
        <f>IF(AA118=1,Thermostat!$B$3,Thermostat!$B$4)</f>
        <v>60</v>
      </c>
      <c r="AB127" s="545">
        <f>IF(AB118=1,Thermostat!$B$3,Thermostat!$B$4)</f>
        <v>60</v>
      </c>
      <c r="AC127" s="546">
        <f>IF(AC118=1,Thermostat!$B$3,Thermostat!$B$4)</f>
        <v>60</v>
      </c>
      <c r="AD127" s="41"/>
      <c r="AE127" s="41"/>
      <c r="AF127" s="41"/>
      <c r="AG127" s="41"/>
      <c r="AH127" s="41"/>
      <c r="AI127" s="41"/>
      <c r="AJ127" s="41"/>
      <c r="AK127" s="41"/>
    </row>
    <row r="128" spans="1:67" ht="30.6" customHeight="1">
      <c r="A128" s="999" t="str">
        <f>A122</f>
        <v>Retails</v>
      </c>
      <c r="B128" s="1095" t="str">
        <f>B122</f>
        <v>Retail</v>
      </c>
      <c r="C128" s="1005" t="s">
        <v>716</v>
      </c>
      <c r="D128" s="1031" t="s">
        <v>728</v>
      </c>
      <c r="E128" s="577" t="s">
        <v>517</v>
      </c>
      <c r="F128" s="497">
        <f>IF(F116=1,Thermostat!$B$5,Thermostat!$B$6)</f>
        <v>85</v>
      </c>
      <c r="G128" s="539">
        <f>IF(G116=1,Thermostat!$B$5,Thermostat!$B$6)</f>
        <v>85</v>
      </c>
      <c r="H128" s="539">
        <f>IF(H116=1,Thermostat!$B$5,Thermostat!$B$6)</f>
        <v>85</v>
      </c>
      <c r="I128" s="539">
        <f>IF(I116=1,Thermostat!$B$5,Thermostat!$B$6)</f>
        <v>85</v>
      </c>
      <c r="J128" s="539">
        <f>IF(J116=1,Thermostat!$B$5,Thermostat!$B$6)</f>
        <v>85</v>
      </c>
      <c r="K128" s="539">
        <f>IF(K116=1,Thermostat!$B$5,Thermostat!$B$6)</f>
        <v>85</v>
      </c>
      <c r="L128" s="539">
        <f>IF(L116=1,Thermostat!$B$5,Thermostat!$B$6)</f>
        <v>75</v>
      </c>
      <c r="M128" s="539">
        <f>IF(M116=1,Thermostat!$B$5,Thermostat!$B$6)</f>
        <v>75</v>
      </c>
      <c r="N128" s="539">
        <f>IF(N116=1,Thermostat!$B$5,Thermostat!$B$6)</f>
        <v>75</v>
      </c>
      <c r="O128" s="539">
        <f>IF(O116=1,Thermostat!$B$5,Thermostat!$B$6)</f>
        <v>75</v>
      </c>
      <c r="P128" s="539">
        <f>IF(P116=1,Thermostat!$B$5,Thermostat!$B$6)</f>
        <v>75</v>
      </c>
      <c r="Q128" s="539">
        <f>IF(Q116=1,Thermostat!$B$5,Thermostat!$B$6)</f>
        <v>75</v>
      </c>
      <c r="R128" s="539">
        <f>IF(R116=1,Thermostat!$B$5,Thermostat!$B$6)</f>
        <v>75</v>
      </c>
      <c r="S128" s="539">
        <f>IF(S116=1,Thermostat!$B$5,Thermostat!$B$6)</f>
        <v>75</v>
      </c>
      <c r="T128" s="539">
        <f>IF(T116=1,Thermostat!$B$5,Thermostat!$B$6)</f>
        <v>75</v>
      </c>
      <c r="U128" s="539">
        <f>IF(U116=1,Thermostat!$B$5,Thermostat!$B$6)</f>
        <v>75</v>
      </c>
      <c r="V128" s="539">
        <f>IF(V116=1,Thermostat!$B$5,Thermostat!$B$6)</f>
        <v>75</v>
      </c>
      <c r="W128" s="539">
        <f>IF(W116=1,Thermostat!$B$5,Thermostat!$B$6)</f>
        <v>75</v>
      </c>
      <c r="X128" s="539">
        <f>IF(X116=1,Thermostat!$B$5,Thermostat!$B$6)</f>
        <v>75</v>
      </c>
      <c r="Y128" s="539">
        <f>IF(Y116=1,Thermostat!$B$5,Thermostat!$B$6)</f>
        <v>75</v>
      </c>
      <c r="Z128" s="539">
        <f>IF(Z116=1,Thermostat!$B$5,Thermostat!$B$6)</f>
        <v>75</v>
      </c>
      <c r="AA128" s="539">
        <f>IF(AA116=1,Thermostat!$B$5,Thermostat!$B$6)</f>
        <v>85</v>
      </c>
      <c r="AB128" s="539">
        <f>IF(AB116=1,Thermostat!$B$5,Thermostat!$B$6)</f>
        <v>85</v>
      </c>
      <c r="AC128" s="540">
        <f>IF(AC116=1,Thermostat!$B$5,Thermostat!$B$6)</f>
        <v>85</v>
      </c>
      <c r="AD128" s="41"/>
      <c r="AE128" s="41"/>
      <c r="AF128" s="41"/>
      <c r="AG128" s="41"/>
      <c r="AH128" s="41"/>
      <c r="AI128" s="41"/>
      <c r="AJ128" s="41"/>
      <c r="AK128" s="41"/>
    </row>
    <row r="129" spans="1:37" ht="30.6" customHeight="1">
      <c r="A129" s="1000"/>
      <c r="B129" s="1096"/>
      <c r="C129" s="1003"/>
      <c r="D129" s="1032"/>
      <c r="E129" s="578" t="s">
        <v>524</v>
      </c>
      <c r="F129" s="496">
        <f>IF(F117=1,Thermostat!$B$5,Thermostat!$B$6)</f>
        <v>85</v>
      </c>
      <c r="G129" s="532">
        <f>IF(G117=1,Thermostat!$B$5,Thermostat!$B$6)</f>
        <v>85</v>
      </c>
      <c r="H129" s="532">
        <f>IF(H117=1,Thermostat!$B$5,Thermostat!$B$6)</f>
        <v>85</v>
      </c>
      <c r="I129" s="532">
        <f>IF(I117=1,Thermostat!$B$5,Thermostat!$B$6)</f>
        <v>85</v>
      </c>
      <c r="J129" s="532">
        <f>IF(J117=1,Thermostat!$B$5,Thermostat!$B$6)</f>
        <v>85</v>
      </c>
      <c r="K129" s="532">
        <f>IF(K117=1,Thermostat!$B$5,Thermostat!$B$6)</f>
        <v>85</v>
      </c>
      <c r="L129" s="532">
        <f>IF(L117=1,Thermostat!$B$5,Thermostat!$B$6)</f>
        <v>75</v>
      </c>
      <c r="M129" s="532">
        <f>IF(M117=1,Thermostat!$B$5,Thermostat!$B$6)</f>
        <v>75</v>
      </c>
      <c r="N129" s="532">
        <f>IF(N117=1,Thermostat!$B$5,Thermostat!$B$6)</f>
        <v>75</v>
      </c>
      <c r="O129" s="532">
        <f>IF(O117=1,Thermostat!$B$5,Thermostat!$B$6)</f>
        <v>75</v>
      </c>
      <c r="P129" s="532">
        <f>IF(P117=1,Thermostat!$B$5,Thermostat!$B$6)</f>
        <v>75</v>
      </c>
      <c r="Q129" s="532">
        <f>IF(Q117=1,Thermostat!$B$5,Thermostat!$B$6)</f>
        <v>75</v>
      </c>
      <c r="R129" s="532">
        <f>IF(R117=1,Thermostat!$B$5,Thermostat!$B$6)</f>
        <v>75</v>
      </c>
      <c r="S129" s="532">
        <f>IF(S117=1,Thermostat!$B$5,Thermostat!$B$6)</f>
        <v>75</v>
      </c>
      <c r="T129" s="532">
        <f>IF(T117=1,Thermostat!$B$5,Thermostat!$B$6)</f>
        <v>75</v>
      </c>
      <c r="U129" s="532">
        <f>IF(U117=1,Thermostat!$B$5,Thermostat!$B$6)</f>
        <v>75</v>
      </c>
      <c r="V129" s="532">
        <f>IF(V117=1,Thermostat!$B$5,Thermostat!$B$6)</f>
        <v>75</v>
      </c>
      <c r="W129" s="532">
        <f>IF(W117=1,Thermostat!$B$5,Thermostat!$B$6)</f>
        <v>75</v>
      </c>
      <c r="X129" s="532">
        <f>IF(X117=1,Thermostat!$B$5,Thermostat!$B$6)</f>
        <v>75</v>
      </c>
      <c r="Y129" s="532">
        <f>IF(Y117=1,Thermostat!$B$5,Thermostat!$B$6)</f>
        <v>75</v>
      </c>
      <c r="Z129" s="532">
        <f>IF(Z117=1,Thermostat!$B$5,Thermostat!$B$6)</f>
        <v>75</v>
      </c>
      <c r="AA129" s="532">
        <f>IF(AA117=1,Thermostat!$B$5,Thermostat!$B$6)</f>
        <v>75</v>
      </c>
      <c r="AB129" s="532">
        <f>IF(AB117=1,Thermostat!$B$5,Thermostat!$B$6)</f>
        <v>85</v>
      </c>
      <c r="AC129" s="533">
        <f>IF(AC117=1,Thermostat!$B$5,Thermostat!$B$6)</f>
        <v>85</v>
      </c>
      <c r="AD129" s="41"/>
      <c r="AE129" s="41"/>
      <c r="AF129" s="41"/>
      <c r="AG129" s="41"/>
      <c r="AH129" s="41"/>
      <c r="AI129" s="41"/>
      <c r="AJ129" s="41"/>
      <c r="AK129" s="41"/>
    </row>
    <row r="130" spans="1:37" ht="30.6" customHeight="1" thickBot="1">
      <c r="A130" s="1001"/>
      <c r="B130" s="1098"/>
      <c r="C130" s="1004"/>
      <c r="D130" s="1082"/>
      <c r="E130" s="579" t="s">
        <v>526</v>
      </c>
      <c r="F130" s="500">
        <f>IF(F118=1,Thermostat!$B$5,Thermostat!$B$6)</f>
        <v>85</v>
      </c>
      <c r="G130" s="541">
        <f>IF(G118=1,Thermostat!$B$5,Thermostat!$B$6)</f>
        <v>85</v>
      </c>
      <c r="H130" s="541">
        <f>IF(H118=1,Thermostat!$B$5,Thermostat!$B$6)</f>
        <v>85</v>
      </c>
      <c r="I130" s="541">
        <f>IF(I118=1,Thermostat!$B$5,Thermostat!$B$6)</f>
        <v>85</v>
      </c>
      <c r="J130" s="541">
        <f>IF(J118=1,Thermostat!$B$5,Thermostat!$B$6)</f>
        <v>85</v>
      </c>
      <c r="K130" s="541">
        <f>IF(K118=1,Thermostat!$B$5,Thermostat!$B$6)</f>
        <v>85</v>
      </c>
      <c r="L130" s="541">
        <f>IF(L118=1,Thermostat!$B$5,Thermostat!$B$6)</f>
        <v>85</v>
      </c>
      <c r="M130" s="541">
        <f>IF(M118=1,Thermostat!$B$5,Thermostat!$B$6)</f>
        <v>85</v>
      </c>
      <c r="N130" s="541">
        <f>IF(N118=1,Thermostat!$B$5,Thermostat!$B$6)</f>
        <v>75</v>
      </c>
      <c r="O130" s="541">
        <f>IF(O118=1,Thermostat!$B$5,Thermostat!$B$6)</f>
        <v>75</v>
      </c>
      <c r="P130" s="541">
        <f>IF(P118=1,Thermostat!$B$5,Thermostat!$B$6)</f>
        <v>75</v>
      </c>
      <c r="Q130" s="541">
        <f>IF(Q118=1,Thermostat!$B$5,Thermostat!$B$6)</f>
        <v>75</v>
      </c>
      <c r="R130" s="541">
        <f>IF(R118=1,Thermostat!$B$5,Thermostat!$B$6)</f>
        <v>75</v>
      </c>
      <c r="S130" s="541">
        <f>IF(S118=1,Thermostat!$B$5,Thermostat!$B$6)</f>
        <v>75</v>
      </c>
      <c r="T130" s="541">
        <f>IF(T118=1,Thermostat!$B$5,Thermostat!$B$6)</f>
        <v>75</v>
      </c>
      <c r="U130" s="541">
        <f>IF(U118=1,Thermostat!$B$5,Thermostat!$B$6)</f>
        <v>75</v>
      </c>
      <c r="V130" s="541">
        <f>IF(V118=1,Thermostat!$B$5,Thermostat!$B$6)</f>
        <v>75</v>
      </c>
      <c r="W130" s="541">
        <f>IF(W118=1,Thermostat!$B$5,Thermostat!$B$6)</f>
        <v>75</v>
      </c>
      <c r="X130" s="541">
        <f>IF(X118=1,Thermostat!$B$5,Thermostat!$B$6)</f>
        <v>75</v>
      </c>
      <c r="Y130" s="541">
        <f>IF(Y118=1,Thermostat!$B$5,Thermostat!$B$6)</f>
        <v>85</v>
      </c>
      <c r="Z130" s="541">
        <f>IF(Z118=1,Thermostat!$B$5,Thermostat!$B$6)</f>
        <v>85</v>
      </c>
      <c r="AA130" s="541">
        <f>IF(AA118=1,Thermostat!$B$5,Thermostat!$B$6)</f>
        <v>85</v>
      </c>
      <c r="AB130" s="541">
        <f>IF(AB118=1,Thermostat!$B$5,Thermostat!$B$6)</f>
        <v>85</v>
      </c>
      <c r="AC130" s="542">
        <f>IF(AC118=1,Thermostat!$B$5,Thermostat!$B$6)</f>
        <v>85</v>
      </c>
      <c r="AD130" s="41"/>
      <c r="AE130" s="41"/>
      <c r="AF130" s="41"/>
      <c r="AG130" s="41"/>
      <c r="AH130" s="41"/>
      <c r="AI130" s="41"/>
      <c r="AJ130" s="41"/>
      <c r="AK130" s="41"/>
    </row>
    <row r="131" spans="1:37" ht="24.6" customHeight="1" thickBot="1">
      <c r="A131" s="1135" t="s">
        <v>222</v>
      </c>
      <c r="B131" s="1136"/>
      <c r="C131" s="1136"/>
      <c r="D131" s="1136"/>
      <c r="E131" s="1136"/>
      <c r="F131" s="1136"/>
      <c r="G131" s="1136"/>
      <c r="H131" s="1136"/>
      <c r="I131" s="1136"/>
      <c r="J131" s="1136"/>
      <c r="K131" s="1136"/>
      <c r="L131" s="1136"/>
      <c r="M131" s="1136"/>
      <c r="N131" s="1136"/>
      <c r="O131" s="1136"/>
      <c r="P131" s="1136"/>
      <c r="Q131" s="1136"/>
      <c r="R131" s="1136"/>
      <c r="S131" s="1136"/>
      <c r="T131" s="1136"/>
      <c r="U131" s="1136"/>
      <c r="V131" s="1136"/>
      <c r="W131" s="1136"/>
      <c r="X131" s="1136"/>
      <c r="Y131" s="1136"/>
      <c r="Z131" s="1136"/>
      <c r="AA131" s="1136"/>
      <c r="AB131" s="1136"/>
      <c r="AC131" s="1137"/>
      <c r="AD131" s="41"/>
      <c r="AE131" s="41"/>
      <c r="AF131" s="41"/>
      <c r="AG131" s="41"/>
      <c r="AH131" s="41"/>
      <c r="AI131" s="41"/>
      <c r="AJ131" s="41"/>
      <c r="AK131" s="41"/>
    </row>
    <row r="132" spans="1:37" ht="30.6" customHeight="1">
      <c r="A132" s="1009" t="s">
        <v>729</v>
      </c>
      <c r="B132" s="1102" t="s">
        <v>222</v>
      </c>
      <c r="C132" s="1102" t="s">
        <v>706</v>
      </c>
      <c r="D132" s="1108" t="s">
        <v>730</v>
      </c>
      <c r="E132" s="625" t="s">
        <v>517</v>
      </c>
      <c r="F132" s="588">
        <v>0.05</v>
      </c>
      <c r="G132" s="588">
        <v>0</v>
      </c>
      <c r="H132" s="588">
        <v>0</v>
      </c>
      <c r="I132" s="588">
        <v>0</v>
      </c>
      <c r="J132" s="588">
        <v>0</v>
      </c>
      <c r="K132" s="588">
        <v>0.05</v>
      </c>
      <c r="L132" s="588">
        <v>0.1</v>
      </c>
      <c r="M132" s="588">
        <v>0.4</v>
      </c>
      <c r="N132" s="588">
        <v>0.4</v>
      </c>
      <c r="O132" s="588">
        <v>0.4</v>
      </c>
      <c r="P132" s="588">
        <v>0.2</v>
      </c>
      <c r="Q132" s="588">
        <v>0.5</v>
      </c>
      <c r="R132" s="588">
        <v>0.8</v>
      </c>
      <c r="S132" s="588">
        <v>0.7</v>
      </c>
      <c r="T132" s="588">
        <v>0.4</v>
      </c>
      <c r="U132" s="588">
        <v>0.2</v>
      </c>
      <c r="V132" s="588">
        <v>0.25</v>
      </c>
      <c r="W132" s="588">
        <v>0.5</v>
      </c>
      <c r="X132" s="588">
        <v>0.8</v>
      </c>
      <c r="Y132" s="588">
        <v>0.8</v>
      </c>
      <c r="Z132" s="588">
        <v>0.8</v>
      </c>
      <c r="AA132" s="588">
        <v>0.5</v>
      </c>
      <c r="AB132" s="588">
        <v>0.35</v>
      </c>
      <c r="AC132" s="589">
        <v>0.2</v>
      </c>
      <c r="AD132" s="41"/>
      <c r="AE132" s="41"/>
      <c r="AF132" s="41"/>
      <c r="AG132" s="41"/>
      <c r="AH132" s="41"/>
      <c r="AI132" s="41"/>
      <c r="AJ132" s="41"/>
      <c r="AK132" s="41"/>
    </row>
    <row r="133" spans="1:37" ht="30.6" customHeight="1">
      <c r="A133" s="1010"/>
      <c r="B133" s="1103"/>
      <c r="C133" s="1103"/>
      <c r="D133" s="1109"/>
      <c r="E133" s="626" t="s">
        <v>524</v>
      </c>
      <c r="F133" s="90">
        <v>0.05</v>
      </c>
      <c r="G133" s="90">
        <v>0</v>
      </c>
      <c r="H133" s="90">
        <v>0</v>
      </c>
      <c r="I133" s="90">
        <v>0</v>
      </c>
      <c r="J133" s="90">
        <v>0</v>
      </c>
      <c r="K133" s="90">
        <v>0</v>
      </c>
      <c r="L133" s="90">
        <v>0.05</v>
      </c>
      <c r="M133" s="90">
        <v>0.5</v>
      </c>
      <c r="N133" s="90">
        <v>0.5</v>
      </c>
      <c r="O133" s="90">
        <v>0.4</v>
      </c>
      <c r="P133" s="90">
        <v>0.2</v>
      </c>
      <c r="Q133" s="90">
        <v>0.45</v>
      </c>
      <c r="R133" s="90">
        <v>0.5</v>
      </c>
      <c r="S133" s="90">
        <v>0.5</v>
      </c>
      <c r="T133" s="90">
        <v>0.35</v>
      </c>
      <c r="U133" s="90">
        <v>0.3</v>
      </c>
      <c r="V133" s="90">
        <v>0.3</v>
      </c>
      <c r="W133" s="90">
        <v>0.3</v>
      </c>
      <c r="X133" s="90">
        <v>0.7</v>
      </c>
      <c r="Y133" s="90">
        <v>0.9</v>
      </c>
      <c r="Z133" s="90">
        <v>0.7</v>
      </c>
      <c r="AA133" s="90">
        <v>0.65</v>
      </c>
      <c r="AB133" s="90">
        <v>0.55000000000000004</v>
      </c>
      <c r="AC133" s="590">
        <v>0.35</v>
      </c>
      <c r="AD133" s="41"/>
      <c r="AE133" s="41"/>
      <c r="AF133" s="41"/>
      <c r="AG133" s="41"/>
      <c r="AH133" s="41"/>
      <c r="AI133" s="41"/>
      <c r="AJ133" s="41"/>
      <c r="AK133" s="41"/>
    </row>
    <row r="134" spans="1:37" ht="30.6" customHeight="1" thickBot="1">
      <c r="A134" s="1011"/>
      <c r="B134" s="1104"/>
      <c r="C134" s="1104"/>
      <c r="D134" s="1110"/>
      <c r="E134" s="627" t="s">
        <v>526</v>
      </c>
      <c r="F134" s="591">
        <v>0.05</v>
      </c>
      <c r="G134" s="591">
        <v>0</v>
      </c>
      <c r="H134" s="591">
        <v>0</v>
      </c>
      <c r="I134" s="591">
        <v>0</v>
      </c>
      <c r="J134" s="591">
        <v>0</v>
      </c>
      <c r="K134" s="591">
        <v>0</v>
      </c>
      <c r="L134" s="591">
        <v>0.05</v>
      </c>
      <c r="M134" s="591">
        <v>0.5</v>
      </c>
      <c r="N134" s="591">
        <v>0.5</v>
      </c>
      <c r="O134" s="591">
        <v>0.2</v>
      </c>
      <c r="P134" s="591">
        <v>0.2</v>
      </c>
      <c r="Q134" s="591">
        <v>0.3</v>
      </c>
      <c r="R134" s="591">
        <v>0.5</v>
      </c>
      <c r="S134" s="591">
        <v>0.5</v>
      </c>
      <c r="T134" s="591">
        <v>0.3</v>
      </c>
      <c r="U134" s="591">
        <v>0.2</v>
      </c>
      <c r="V134" s="591">
        <v>0.25</v>
      </c>
      <c r="W134" s="591">
        <v>0.35</v>
      </c>
      <c r="X134" s="591">
        <v>0.55000000000000004</v>
      </c>
      <c r="Y134" s="591">
        <v>0.65</v>
      </c>
      <c r="Z134" s="591">
        <v>0.7</v>
      </c>
      <c r="AA134" s="591">
        <v>0.35</v>
      </c>
      <c r="AB134" s="591">
        <v>0.2</v>
      </c>
      <c r="AC134" s="592">
        <v>0.2</v>
      </c>
      <c r="AD134" s="41"/>
      <c r="AE134" s="41"/>
      <c r="AF134" s="41"/>
      <c r="AG134" s="41"/>
      <c r="AH134" s="41"/>
      <c r="AI134" s="41"/>
      <c r="AJ134" s="41"/>
      <c r="AK134" s="41"/>
    </row>
    <row r="135" spans="1:37" ht="30.6" customHeight="1">
      <c r="A135" s="1009" t="str">
        <f>A132</f>
        <v>Dining and Café</v>
      </c>
      <c r="B135" s="1102" t="s">
        <v>222</v>
      </c>
      <c r="C135" s="1116" t="s">
        <v>708</v>
      </c>
      <c r="D135" s="1108" t="s">
        <v>731</v>
      </c>
      <c r="E135" s="104" t="s">
        <v>517</v>
      </c>
      <c r="F135" s="92">
        <v>0.15</v>
      </c>
      <c r="G135" s="92">
        <v>0.15</v>
      </c>
      <c r="H135" s="92">
        <v>0.15</v>
      </c>
      <c r="I135" s="92">
        <v>0.15</v>
      </c>
      <c r="J135" s="92">
        <v>0.15</v>
      </c>
      <c r="K135" s="92">
        <v>0.2</v>
      </c>
      <c r="L135" s="593">
        <v>0.3</v>
      </c>
      <c r="M135" s="593">
        <f t="shared" ref="M135:AA137" si="24">M138-5%</f>
        <v>0.66999999999999993</v>
      </c>
      <c r="N135" s="593">
        <f t="shared" si="24"/>
        <v>0.73</v>
      </c>
      <c r="O135" s="593">
        <f t="shared" si="24"/>
        <v>0.75</v>
      </c>
      <c r="P135" s="593">
        <f t="shared" si="24"/>
        <v>0.85</v>
      </c>
      <c r="Q135" s="593">
        <f t="shared" si="24"/>
        <v>0.85</v>
      </c>
      <c r="R135" s="593">
        <f t="shared" si="24"/>
        <v>0.85</v>
      </c>
      <c r="S135" s="593">
        <f t="shared" si="24"/>
        <v>0.83</v>
      </c>
      <c r="T135" s="593">
        <f t="shared" si="24"/>
        <v>0.72</v>
      </c>
      <c r="U135" s="593">
        <f t="shared" si="24"/>
        <v>0.64999999999999991</v>
      </c>
      <c r="V135" s="593">
        <f t="shared" si="24"/>
        <v>0.66999999999999993</v>
      </c>
      <c r="W135" s="593">
        <f t="shared" si="24"/>
        <v>0.75</v>
      </c>
      <c r="X135" s="593">
        <f t="shared" si="24"/>
        <v>0.85</v>
      </c>
      <c r="Y135" s="593">
        <f t="shared" si="24"/>
        <v>0.85</v>
      </c>
      <c r="Z135" s="593">
        <f t="shared" si="24"/>
        <v>0.85</v>
      </c>
      <c r="AA135" s="593">
        <f t="shared" si="24"/>
        <v>0.75</v>
      </c>
      <c r="AB135" s="593">
        <f>AB138-5%</f>
        <v>0.56999999999999995</v>
      </c>
      <c r="AC135" s="97">
        <v>0.3</v>
      </c>
      <c r="AD135" s="41"/>
      <c r="AE135" s="41"/>
      <c r="AF135" s="41"/>
      <c r="AG135" s="41"/>
      <c r="AH135" s="41"/>
      <c r="AI135" s="41"/>
      <c r="AJ135" s="41"/>
      <c r="AK135" s="41"/>
    </row>
    <row r="136" spans="1:37" ht="30.6" customHeight="1">
      <c r="A136" s="1010"/>
      <c r="B136" s="1103"/>
      <c r="C136" s="1113"/>
      <c r="D136" s="1109"/>
      <c r="E136" s="101" t="s">
        <v>524</v>
      </c>
      <c r="F136" s="594">
        <f>F139</f>
        <v>0.15</v>
      </c>
      <c r="G136" s="90">
        <v>0.15</v>
      </c>
      <c r="H136" s="90">
        <v>0.15</v>
      </c>
      <c r="I136" s="90">
        <v>0.15</v>
      </c>
      <c r="J136" s="90">
        <v>0.15</v>
      </c>
      <c r="K136" s="594">
        <f>K139</f>
        <v>0.2</v>
      </c>
      <c r="L136" s="90">
        <v>0.3</v>
      </c>
      <c r="M136" s="594">
        <f t="shared" si="24"/>
        <v>0.66999999999999993</v>
      </c>
      <c r="N136" s="594">
        <f t="shared" si="24"/>
        <v>0.73</v>
      </c>
      <c r="O136" s="594">
        <f t="shared" si="24"/>
        <v>0.75</v>
      </c>
      <c r="P136" s="594">
        <f t="shared" si="24"/>
        <v>0.85</v>
      </c>
      <c r="Q136" s="594">
        <f t="shared" si="24"/>
        <v>0.85</v>
      </c>
      <c r="R136" s="594">
        <f t="shared" si="24"/>
        <v>0.85</v>
      </c>
      <c r="S136" s="594">
        <f t="shared" si="24"/>
        <v>0.83</v>
      </c>
      <c r="T136" s="594">
        <f t="shared" si="24"/>
        <v>0.72</v>
      </c>
      <c r="U136" s="594">
        <f t="shared" si="24"/>
        <v>0.64999999999999991</v>
      </c>
      <c r="V136" s="594">
        <f t="shared" si="24"/>
        <v>0.66999999999999993</v>
      </c>
      <c r="W136" s="594">
        <f t="shared" si="24"/>
        <v>0.75</v>
      </c>
      <c r="X136" s="594">
        <f t="shared" si="24"/>
        <v>0.85</v>
      </c>
      <c r="Y136" s="594">
        <f t="shared" si="24"/>
        <v>0.85</v>
      </c>
      <c r="Z136" s="594">
        <f t="shared" si="24"/>
        <v>0.85</v>
      </c>
      <c r="AA136" s="594">
        <f t="shared" si="24"/>
        <v>0.75</v>
      </c>
      <c r="AB136" s="594">
        <f>AB139-5%</f>
        <v>0.56999999999999995</v>
      </c>
      <c r="AC136" s="95">
        <v>0.3</v>
      </c>
      <c r="AD136" s="41"/>
      <c r="AE136" s="41"/>
      <c r="AF136" s="41"/>
      <c r="AG136" s="41"/>
      <c r="AH136" s="41"/>
      <c r="AI136" s="41"/>
      <c r="AJ136" s="41"/>
      <c r="AK136" s="41"/>
    </row>
    <row r="137" spans="1:37" ht="30.6" customHeight="1" thickBot="1">
      <c r="A137" s="1011"/>
      <c r="B137" s="1104"/>
      <c r="C137" s="1114"/>
      <c r="D137" s="1110"/>
      <c r="E137" s="102" t="s">
        <v>526</v>
      </c>
      <c r="F137" s="91">
        <v>0.2</v>
      </c>
      <c r="G137" s="91">
        <v>0.15</v>
      </c>
      <c r="H137" s="91">
        <v>0.15</v>
      </c>
      <c r="I137" s="91">
        <v>0.15</v>
      </c>
      <c r="J137" s="91">
        <v>0.15</v>
      </c>
      <c r="K137" s="91">
        <v>0.15</v>
      </c>
      <c r="L137" s="91">
        <v>0.3</v>
      </c>
      <c r="M137" s="595">
        <f t="shared" si="24"/>
        <v>0.66999999999999993</v>
      </c>
      <c r="N137" s="595">
        <f t="shared" si="24"/>
        <v>0.73</v>
      </c>
      <c r="O137" s="595">
        <f t="shared" si="24"/>
        <v>0.75</v>
      </c>
      <c r="P137" s="595">
        <f t="shared" si="24"/>
        <v>0.85</v>
      </c>
      <c r="Q137" s="595">
        <f t="shared" si="24"/>
        <v>0.85</v>
      </c>
      <c r="R137" s="595">
        <f t="shared" si="24"/>
        <v>0.85</v>
      </c>
      <c r="S137" s="595">
        <f t="shared" si="24"/>
        <v>0.83</v>
      </c>
      <c r="T137" s="595">
        <f t="shared" si="24"/>
        <v>0.72</v>
      </c>
      <c r="U137" s="595">
        <f t="shared" si="24"/>
        <v>0.64999999999999991</v>
      </c>
      <c r="V137" s="595">
        <f t="shared" si="24"/>
        <v>0.66999999999999993</v>
      </c>
      <c r="W137" s="595">
        <f t="shared" si="24"/>
        <v>0.75</v>
      </c>
      <c r="X137" s="595">
        <f t="shared" si="24"/>
        <v>0.85</v>
      </c>
      <c r="Y137" s="595">
        <f t="shared" si="24"/>
        <v>0.85</v>
      </c>
      <c r="Z137" s="595">
        <f t="shared" si="24"/>
        <v>0.85</v>
      </c>
      <c r="AA137" s="595">
        <f t="shared" si="24"/>
        <v>0.75</v>
      </c>
      <c r="AB137" s="595">
        <f>AB140-5%</f>
        <v>0.56999999999999995</v>
      </c>
      <c r="AC137" s="96">
        <v>0.3</v>
      </c>
      <c r="AD137" s="41"/>
      <c r="AE137" s="41"/>
      <c r="AF137" s="41"/>
      <c r="AG137" s="41"/>
      <c r="AH137" s="41"/>
      <c r="AI137" s="41"/>
      <c r="AJ137" s="41"/>
      <c r="AK137" s="41"/>
    </row>
    <row r="138" spans="1:37" ht="30.6" customHeight="1">
      <c r="A138" s="1018" t="str">
        <f>A132</f>
        <v>Dining and Café</v>
      </c>
      <c r="B138" s="1115" t="s">
        <v>222</v>
      </c>
      <c r="C138" s="1116" t="s">
        <v>710</v>
      </c>
      <c r="D138" s="1118" t="s">
        <v>667</v>
      </c>
      <c r="E138" s="596" t="s">
        <v>517</v>
      </c>
      <c r="F138" s="588">
        <v>0.15</v>
      </c>
      <c r="G138" s="588">
        <v>0.15</v>
      </c>
      <c r="H138" s="588">
        <v>0.15</v>
      </c>
      <c r="I138" s="588">
        <v>0.15</v>
      </c>
      <c r="J138" s="588">
        <v>0.15</v>
      </c>
      <c r="K138" s="588">
        <v>0.2</v>
      </c>
      <c r="L138" s="597">
        <v>0.3</v>
      </c>
      <c r="M138" s="597">
        <v>0.72</v>
      </c>
      <c r="N138" s="597">
        <v>0.78</v>
      </c>
      <c r="O138" s="597">
        <v>0.8</v>
      </c>
      <c r="P138" s="588">
        <v>0.9</v>
      </c>
      <c r="Q138" s="588">
        <v>0.9</v>
      </c>
      <c r="R138" s="588">
        <v>0.9</v>
      </c>
      <c r="S138" s="597">
        <v>0.88</v>
      </c>
      <c r="T138" s="597">
        <v>0.77</v>
      </c>
      <c r="U138" s="597">
        <v>0.7</v>
      </c>
      <c r="V138" s="597">
        <v>0.72</v>
      </c>
      <c r="W138" s="597">
        <v>0.8</v>
      </c>
      <c r="X138" s="588">
        <v>0.9</v>
      </c>
      <c r="Y138" s="588">
        <v>0.9</v>
      </c>
      <c r="Z138" s="588">
        <v>0.9</v>
      </c>
      <c r="AA138" s="597">
        <v>0.8</v>
      </c>
      <c r="AB138" s="597">
        <v>0.62</v>
      </c>
      <c r="AC138" s="589">
        <v>0.3</v>
      </c>
      <c r="AD138" s="41"/>
      <c r="AE138" s="41"/>
      <c r="AF138" s="41"/>
      <c r="AG138" s="41"/>
      <c r="AH138" s="41"/>
      <c r="AI138" s="41"/>
      <c r="AJ138" s="41"/>
      <c r="AK138" s="41"/>
    </row>
    <row r="139" spans="1:37" ht="30.6" customHeight="1">
      <c r="A139" s="1010"/>
      <c r="B139" s="1103"/>
      <c r="C139" s="1113"/>
      <c r="D139" s="1118"/>
      <c r="E139" s="598" t="s">
        <v>524</v>
      </c>
      <c r="F139" s="599">
        <v>0.15</v>
      </c>
      <c r="G139" s="90">
        <v>0.15</v>
      </c>
      <c r="H139" s="90">
        <v>0.15</v>
      </c>
      <c r="I139" s="90">
        <v>0.15</v>
      </c>
      <c r="J139" s="90">
        <v>0.15</v>
      </c>
      <c r="K139" s="599">
        <v>0.2</v>
      </c>
      <c r="L139" s="90">
        <v>0.3</v>
      </c>
      <c r="M139" s="599">
        <v>0.72</v>
      </c>
      <c r="N139" s="599">
        <v>0.78</v>
      </c>
      <c r="O139" s="599">
        <v>0.8</v>
      </c>
      <c r="P139" s="599">
        <v>0.9</v>
      </c>
      <c r="Q139" s="599">
        <v>0.9</v>
      </c>
      <c r="R139" s="599">
        <v>0.9</v>
      </c>
      <c r="S139" s="599">
        <v>0.88</v>
      </c>
      <c r="T139" s="599">
        <v>0.77</v>
      </c>
      <c r="U139" s="599">
        <v>0.7</v>
      </c>
      <c r="V139" s="599">
        <v>0.72</v>
      </c>
      <c r="W139" s="599">
        <v>0.8</v>
      </c>
      <c r="X139" s="90">
        <v>0.9</v>
      </c>
      <c r="Y139" s="90">
        <v>0.9</v>
      </c>
      <c r="Z139" s="90">
        <v>0.9</v>
      </c>
      <c r="AA139" s="599">
        <v>0.8</v>
      </c>
      <c r="AB139" s="599">
        <v>0.62</v>
      </c>
      <c r="AC139" s="590">
        <v>0.3</v>
      </c>
      <c r="AD139" s="41"/>
      <c r="AE139" s="41"/>
      <c r="AF139" s="41"/>
      <c r="AG139" s="41"/>
      <c r="AH139" s="41"/>
      <c r="AI139" s="41"/>
      <c r="AJ139" s="41"/>
      <c r="AK139" s="41"/>
    </row>
    <row r="140" spans="1:37" ht="30.6" customHeight="1" thickBot="1">
      <c r="A140" s="1011"/>
      <c r="B140" s="1104"/>
      <c r="C140" s="1117"/>
      <c r="D140" s="1119"/>
      <c r="E140" s="600" t="s">
        <v>526</v>
      </c>
      <c r="F140" s="601">
        <v>0.2</v>
      </c>
      <c r="G140" s="591">
        <v>0.15</v>
      </c>
      <c r="H140" s="591">
        <v>0.15</v>
      </c>
      <c r="I140" s="591">
        <v>0.15</v>
      </c>
      <c r="J140" s="591">
        <v>0.15</v>
      </c>
      <c r="K140" s="601">
        <v>0.15</v>
      </c>
      <c r="L140" s="591">
        <v>0.3</v>
      </c>
      <c r="M140" s="601">
        <v>0.72</v>
      </c>
      <c r="N140" s="601">
        <v>0.78</v>
      </c>
      <c r="O140" s="601">
        <v>0.8</v>
      </c>
      <c r="P140" s="601">
        <v>0.9</v>
      </c>
      <c r="Q140" s="601">
        <v>0.9</v>
      </c>
      <c r="R140" s="601">
        <v>0.9</v>
      </c>
      <c r="S140" s="601">
        <v>0.88</v>
      </c>
      <c r="T140" s="601">
        <v>0.77</v>
      </c>
      <c r="U140" s="601">
        <v>0.7</v>
      </c>
      <c r="V140" s="601">
        <v>0.72</v>
      </c>
      <c r="W140" s="601">
        <v>0.8</v>
      </c>
      <c r="X140" s="601">
        <v>0.9</v>
      </c>
      <c r="Y140" s="601">
        <v>0.9</v>
      </c>
      <c r="Z140" s="601">
        <v>0.9</v>
      </c>
      <c r="AA140" s="601">
        <v>0.8</v>
      </c>
      <c r="AB140" s="601">
        <v>0.62</v>
      </c>
      <c r="AC140" s="592">
        <v>0.3</v>
      </c>
      <c r="AD140" s="41"/>
      <c r="AE140" s="41"/>
      <c r="AF140" s="41"/>
      <c r="AG140" s="41"/>
      <c r="AH140" s="41"/>
      <c r="AI140" s="41"/>
      <c r="AJ140" s="41"/>
      <c r="AK140" s="41"/>
    </row>
    <row r="141" spans="1:37" ht="30.6" customHeight="1">
      <c r="A141" s="1009" t="str">
        <f>A132</f>
        <v>Dining and Café</v>
      </c>
      <c r="B141" s="1102" t="s">
        <v>222</v>
      </c>
      <c r="C141" s="1120" t="s">
        <v>711</v>
      </c>
      <c r="D141" s="1121" t="s">
        <v>732</v>
      </c>
      <c r="E141" s="596" t="s">
        <v>517</v>
      </c>
      <c r="F141" s="588">
        <v>1</v>
      </c>
      <c r="G141" s="602">
        <v>0</v>
      </c>
      <c r="H141" s="602">
        <v>0</v>
      </c>
      <c r="I141" s="588">
        <v>0</v>
      </c>
      <c r="J141" s="602">
        <v>1</v>
      </c>
      <c r="K141" s="602">
        <v>1</v>
      </c>
      <c r="L141" s="588">
        <v>1</v>
      </c>
      <c r="M141" s="588">
        <v>1</v>
      </c>
      <c r="N141" s="588">
        <v>1</v>
      </c>
      <c r="O141" s="588">
        <v>1</v>
      </c>
      <c r="P141" s="588">
        <v>1</v>
      </c>
      <c r="Q141" s="588">
        <v>1</v>
      </c>
      <c r="R141" s="588">
        <v>1</v>
      </c>
      <c r="S141" s="588">
        <v>1</v>
      </c>
      <c r="T141" s="588">
        <v>1</v>
      </c>
      <c r="U141" s="588">
        <v>1</v>
      </c>
      <c r="V141" s="588">
        <v>1</v>
      </c>
      <c r="W141" s="588">
        <v>1</v>
      </c>
      <c r="X141" s="588">
        <v>1</v>
      </c>
      <c r="Y141" s="588">
        <v>1</v>
      </c>
      <c r="Z141" s="588">
        <v>1</v>
      </c>
      <c r="AA141" s="588">
        <v>1</v>
      </c>
      <c r="AB141" s="588">
        <v>1</v>
      </c>
      <c r="AC141" s="589">
        <v>1</v>
      </c>
      <c r="AD141" s="41"/>
      <c r="AE141" s="41"/>
      <c r="AF141" s="41"/>
      <c r="AG141" s="41"/>
      <c r="AH141" s="41"/>
      <c r="AI141" s="41"/>
      <c r="AJ141" s="41"/>
      <c r="AK141" s="41"/>
    </row>
    <row r="142" spans="1:37" ht="30.6" customHeight="1">
      <c r="A142" s="1010"/>
      <c r="B142" s="1103"/>
      <c r="C142" s="1106"/>
      <c r="D142" s="1122"/>
      <c r="E142" s="598" t="s">
        <v>524</v>
      </c>
      <c r="F142" s="90">
        <v>1</v>
      </c>
      <c r="G142" s="593">
        <v>0</v>
      </c>
      <c r="H142" s="593">
        <v>0</v>
      </c>
      <c r="I142" s="90">
        <v>0</v>
      </c>
      <c r="J142" s="90">
        <v>0</v>
      </c>
      <c r="K142" s="594">
        <v>1</v>
      </c>
      <c r="L142" s="594">
        <v>1</v>
      </c>
      <c r="M142" s="594">
        <v>1</v>
      </c>
      <c r="N142" s="90">
        <v>1</v>
      </c>
      <c r="O142" s="90">
        <v>1</v>
      </c>
      <c r="P142" s="90">
        <v>1</v>
      </c>
      <c r="Q142" s="90">
        <v>1</v>
      </c>
      <c r="R142" s="90">
        <v>1</v>
      </c>
      <c r="S142" s="90">
        <v>1</v>
      </c>
      <c r="T142" s="90">
        <v>1</v>
      </c>
      <c r="U142" s="90">
        <v>1</v>
      </c>
      <c r="V142" s="90">
        <v>1</v>
      </c>
      <c r="W142" s="90">
        <v>1</v>
      </c>
      <c r="X142" s="90">
        <v>1</v>
      </c>
      <c r="Y142" s="90">
        <v>1</v>
      </c>
      <c r="Z142" s="90">
        <v>1</v>
      </c>
      <c r="AA142" s="90">
        <v>1</v>
      </c>
      <c r="AB142" s="90">
        <v>1</v>
      </c>
      <c r="AC142" s="590">
        <v>1</v>
      </c>
      <c r="AD142" s="41"/>
      <c r="AE142" s="41"/>
      <c r="AF142" s="41"/>
      <c r="AG142" s="41"/>
      <c r="AH142" s="41"/>
      <c r="AI142" s="41"/>
      <c r="AJ142" s="41"/>
      <c r="AK142" s="41"/>
    </row>
    <row r="143" spans="1:37" ht="30.6" customHeight="1" thickBot="1">
      <c r="A143" s="1011"/>
      <c r="B143" s="1104"/>
      <c r="C143" s="1107"/>
      <c r="D143" s="1123"/>
      <c r="E143" s="600" t="s">
        <v>526</v>
      </c>
      <c r="F143" s="591">
        <v>1</v>
      </c>
      <c r="G143" s="603">
        <v>0</v>
      </c>
      <c r="H143" s="603">
        <v>0</v>
      </c>
      <c r="I143" s="591">
        <v>0</v>
      </c>
      <c r="J143" s="591">
        <v>0</v>
      </c>
      <c r="K143" s="604">
        <v>1</v>
      </c>
      <c r="L143" s="604">
        <v>1</v>
      </c>
      <c r="M143" s="604">
        <v>1</v>
      </c>
      <c r="N143" s="604">
        <v>1</v>
      </c>
      <c r="O143" s="591">
        <v>1</v>
      </c>
      <c r="P143" s="591">
        <v>1</v>
      </c>
      <c r="Q143" s="591">
        <v>1</v>
      </c>
      <c r="R143" s="591">
        <v>1</v>
      </c>
      <c r="S143" s="591">
        <v>1</v>
      </c>
      <c r="T143" s="591">
        <v>1</v>
      </c>
      <c r="U143" s="591">
        <v>1</v>
      </c>
      <c r="V143" s="591">
        <v>1</v>
      </c>
      <c r="W143" s="591">
        <v>1</v>
      </c>
      <c r="X143" s="591">
        <v>1</v>
      </c>
      <c r="Y143" s="591">
        <v>1</v>
      </c>
      <c r="Z143" s="591">
        <v>1</v>
      </c>
      <c r="AA143" s="591">
        <v>1</v>
      </c>
      <c r="AB143" s="591">
        <v>1</v>
      </c>
      <c r="AC143" s="592">
        <v>1</v>
      </c>
      <c r="AD143" s="41"/>
      <c r="AE143" s="41"/>
      <c r="AF143" s="41"/>
      <c r="AG143" s="41"/>
      <c r="AH143" s="41"/>
      <c r="AI143" s="41"/>
      <c r="AJ143" s="41"/>
      <c r="AK143" s="41"/>
    </row>
    <row r="144" spans="1:37" ht="30.6" customHeight="1">
      <c r="A144" s="1009" t="str">
        <f>A132</f>
        <v>Dining and Café</v>
      </c>
      <c r="B144" s="1102" t="s">
        <v>222</v>
      </c>
      <c r="C144" s="1105" t="s">
        <v>713</v>
      </c>
      <c r="D144" s="1108" t="s">
        <v>733</v>
      </c>
      <c r="E144" s="104" t="s">
        <v>517</v>
      </c>
      <c r="F144" s="92">
        <v>0.2</v>
      </c>
      <c r="G144" s="593">
        <v>0</v>
      </c>
      <c r="H144" s="593">
        <v>0</v>
      </c>
      <c r="I144" s="92">
        <v>0</v>
      </c>
      <c r="J144" s="92">
        <v>0</v>
      </c>
      <c r="K144" s="593">
        <v>0.6</v>
      </c>
      <c r="L144" s="593">
        <v>0.6</v>
      </c>
      <c r="M144" s="92">
        <v>0.6</v>
      </c>
      <c r="N144" s="92">
        <v>0.55000000000000004</v>
      </c>
      <c r="O144" s="92">
        <v>0.45</v>
      </c>
      <c r="P144" s="92">
        <v>0.4</v>
      </c>
      <c r="Q144" s="92">
        <v>0.45</v>
      </c>
      <c r="R144" s="92">
        <v>0.4</v>
      </c>
      <c r="S144" s="92">
        <v>0.35</v>
      </c>
      <c r="T144" s="92">
        <v>0.3</v>
      </c>
      <c r="U144" s="92">
        <v>0.3</v>
      </c>
      <c r="V144" s="92">
        <v>0.3</v>
      </c>
      <c r="W144" s="92">
        <v>0.4</v>
      </c>
      <c r="X144" s="92">
        <v>0.55000000000000004</v>
      </c>
      <c r="Y144" s="92">
        <v>0.6</v>
      </c>
      <c r="Z144" s="92">
        <v>0.5</v>
      </c>
      <c r="AA144" s="92">
        <v>0.55000000000000004</v>
      </c>
      <c r="AB144" s="92">
        <v>0.45</v>
      </c>
      <c r="AC144" s="97">
        <v>0.25</v>
      </c>
      <c r="AD144" s="41"/>
      <c r="AE144" s="41"/>
      <c r="AF144" s="41"/>
      <c r="AG144" s="41"/>
      <c r="AH144" s="41"/>
      <c r="AI144" s="41"/>
      <c r="AJ144" s="41"/>
      <c r="AK144" s="41"/>
    </row>
    <row r="145" spans="1:58" ht="30.6" customHeight="1">
      <c r="A145" s="1010"/>
      <c r="B145" s="1103"/>
      <c r="C145" s="1106"/>
      <c r="D145" s="1109"/>
      <c r="E145" s="101" t="s">
        <v>524</v>
      </c>
      <c r="F145" s="90">
        <v>0.2</v>
      </c>
      <c r="G145" s="594">
        <v>0</v>
      </c>
      <c r="H145" s="594">
        <v>0</v>
      </c>
      <c r="I145" s="90">
        <v>0</v>
      </c>
      <c r="J145" s="90">
        <v>0</v>
      </c>
      <c r="K145" s="90">
        <v>0</v>
      </c>
      <c r="L145" s="594">
        <v>0.5</v>
      </c>
      <c r="M145" s="594">
        <v>0.5</v>
      </c>
      <c r="N145" s="594">
        <v>0.5</v>
      </c>
      <c r="O145" s="90">
        <v>0.5</v>
      </c>
      <c r="P145" s="90">
        <v>0.45</v>
      </c>
      <c r="Q145" s="90">
        <v>0.5</v>
      </c>
      <c r="R145" s="90">
        <v>0.5</v>
      </c>
      <c r="S145" s="90">
        <v>0.45</v>
      </c>
      <c r="T145" s="90">
        <v>0.4</v>
      </c>
      <c r="U145" s="90">
        <v>0.4</v>
      </c>
      <c r="V145" s="90">
        <v>0.35</v>
      </c>
      <c r="W145" s="90">
        <v>0.4</v>
      </c>
      <c r="X145" s="90">
        <v>0.55000000000000004</v>
      </c>
      <c r="Y145" s="90">
        <v>0.55000000000000004</v>
      </c>
      <c r="Z145" s="90">
        <v>0.5</v>
      </c>
      <c r="AA145" s="90">
        <v>0.55000000000000004</v>
      </c>
      <c r="AB145" s="90">
        <v>0.4</v>
      </c>
      <c r="AC145" s="95">
        <v>0.3</v>
      </c>
      <c r="AD145" s="41"/>
      <c r="AE145" s="41"/>
      <c r="AF145" s="41"/>
      <c r="AG145" s="41"/>
      <c r="AH145" s="41"/>
      <c r="AI145" s="41"/>
      <c r="AJ145" s="41"/>
      <c r="AK145" s="41"/>
    </row>
    <row r="146" spans="1:58" ht="30.6" customHeight="1" thickBot="1">
      <c r="A146" s="1011"/>
      <c r="B146" s="1104"/>
      <c r="C146" s="1107"/>
      <c r="D146" s="1110"/>
      <c r="E146" s="102" t="s">
        <v>526</v>
      </c>
      <c r="F146" s="91">
        <v>0.25</v>
      </c>
      <c r="G146" s="595">
        <v>0</v>
      </c>
      <c r="H146" s="595">
        <v>0</v>
      </c>
      <c r="I146" s="91">
        <v>0</v>
      </c>
      <c r="J146" s="91">
        <v>0</v>
      </c>
      <c r="K146" s="91">
        <v>0</v>
      </c>
      <c r="L146" s="595">
        <v>0.5</v>
      </c>
      <c r="M146" s="595">
        <v>0.5</v>
      </c>
      <c r="N146" s="595">
        <v>0.5</v>
      </c>
      <c r="O146" s="595">
        <v>0.5</v>
      </c>
      <c r="P146" s="91">
        <v>0.5</v>
      </c>
      <c r="Q146" s="91">
        <v>0.5</v>
      </c>
      <c r="R146" s="91">
        <v>0.4</v>
      </c>
      <c r="S146" s="91">
        <v>0.4</v>
      </c>
      <c r="T146" s="91">
        <v>0.3</v>
      </c>
      <c r="U146" s="91">
        <v>0.3</v>
      </c>
      <c r="V146" s="91">
        <v>0.3</v>
      </c>
      <c r="W146" s="91">
        <v>0.4</v>
      </c>
      <c r="X146" s="91">
        <v>0.5</v>
      </c>
      <c r="Y146" s="91">
        <v>0.5</v>
      </c>
      <c r="Z146" s="91">
        <v>0.4</v>
      </c>
      <c r="AA146" s="91">
        <v>0.5</v>
      </c>
      <c r="AB146" s="91">
        <v>0.4</v>
      </c>
      <c r="AC146" s="96">
        <v>0.2</v>
      </c>
      <c r="AD146" s="41"/>
      <c r="AE146" s="41"/>
      <c r="AF146" s="41"/>
      <c r="AG146" s="41"/>
      <c r="AH146" s="41"/>
      <c r="AI146" s="41"/>
      <c r="AJ146" s="41"/>
      <c r="AK146" s="41"/>
    </row>
    <row r="147" spans="1:58" ht="30.6" customHeight="1">
      <c r="A147" s="1009" t="str">
        <f>A132</f>
        <v>Dining and Café</v>
      </c>
      <c r="B147" s="1102" t="s">
        <v>222</v>
      </c>
      <c r="C147" s="1105" t="s">
        <v>308</v>
      </c>
      <c r="D147" s="1121" t="s">
        <v>734</v>
      </c>
      <c r="E147" s="596" t="s">
        <v>517</v>
      </c>
      <c r="F147" s="602">
        <v>0.25</v>
      </c>
      <c r="G147" s="602">
        <v>0</v>
      </c>
      <c r="H147" s="602">
        <v>0</v>
      </c>
      <c r="I147" s="588">
        <v>1</v>
      </c>
      <c r="J147" s="602">
        <v>0.25</v>
      </c>
      <c r="K147" s="605">
        <v>0.25</v>
      </c>
      <c r="L147" s="606">
        <v>0.25</v>
      </c>
      <c r="M147" s="606">
        <v>0.25</v>
      </c>
      <c r="N147" s="606">
        <v>0.25</v>
      </c>
      <c r="O147" s="588">
        <v>0.25</v>
      </c>
      <c r="P147" s="588">
        <v>0.25</v>
      </c>
      <c r="Q147" s="588">
        <v>0.25</v>
      </c>
      <c r="R147" s="588">
        <v>0.25</v>
      </c>
      <c r="S147" s="588">
        <v>0.25</v>
      </c>
      <c r="T147" s="588">
        <v>0.25</v>
      </c>
      <c r="U147" s="588">
        <v>0.25</v>
      </c>
      <c r="V147" s="602">
        <v>0.25</v>
      </c>
      <c r="W147" s="588">
        <v>0.25</v>
      </c>
      <c r="X147" s="588">
        <v>0.25</v>
      </c>
      <c r="Y147" s="588">
        <v>0.25</v>
      </c>
      <c r="Z147" s="588">
        <v>0.25</v>
      </c>
      <c r="AA147" s="588">
        <v>0.25</v>
      </c>
      <c r="AB147" s="588">
        <v>0.25</v>
      </c>
      <c r="AC147" s="589">
        <v>0.25</v>
      </c>
      <c r="AD147" s="41"/>
      <c r="AE147" s="41"/>
      <c r="AF147" s="41"/>
      <c r="AG147" s="41"/>
      <c r="AH147" s="41"/>
      <c r="AI147" s="41"/>
      <c r="AJ147" s="41"/>
      <c r="AK147" s="41"/>
    </row>
    <row r="148" spans="1:58" ht="30.6" customHeight="1">
      <c r="A148" s="1010"/>
      <c r="B148" s="1103"/>
      <c r="C148" s="1106"/>
      <c r="D148" s="1122"/>
      <c r="E148" s="598" t="s">
        <v>524</v>
      </c>
      <c r="F148" s="594">
        <v>0.25</v>
      </c>
      <c r="G148" s="594">
        <v>0</v>
      </c>
      <c r="H148" s="90">
        <v>0</v>
      </c>
      <c r="I148" s="90">
        <v>1</v>
      </c>
      <c r="J148" s="90">
        <v>1</v>
      </c>
      <c r="K148" s="594">
        <v>0.25</v>
      </c>
      <c r="L148" s="594">
        <v>0.25</v>
      </c>
      <c r="M148" s="594">
        <v>0.25</v>
      </c>
      <c r="N148" s="90">
        <v>0.25</v>
      </c>
      <c r="O148" s="90">
        <v>0.25</v>
      </c>
      <c r="P148" s="90">
        <v>0.25</v>
      </c>
      <c r="Q148" s="90">
        <v>0.25</v>
      </c>
      <c r="R148" s="90">
        <v>0.25</v>
      </c>
      <c r="S148" s="90">
        <v>0.25</v>
      </c>
      <c r="T148" s="90">
        <v>0.25</v>
      </c>
      <c r="U148" s="90">
        <v>0.25</v>
      </c>
      <c r="V148" s="90">
        <v>0.25</v>
      </c>
      <c r="W148" s="90">
        <v>0.25</v>
      </c>
      <c r="X148" s="90">
        <v>0.25</v>
      </c>
      <c r="Y148" s="90">
        <v>0.25</v>
      </c>
      <c r="Z148" s="90">
        <v>0.25</v>
      </c>
      <c r="AA148" s="90">
        <v>0.25</v>
      </c>
      <c r="AB148" s="90">
        <v>0.25</v>
      </c>
      <c r="AC148" s="590">
        <v>0.25</v>
      </c>
      <c r="AD148" s="41"/>
      <c r="AE148" s="41"/>
      <c r="AF148" s="41"/>
      <c r="AG148" s="41"/>
      <c r="AH148" s="41"/>
      <c r="AI148" s="41"/>
      <c r="AJ148" s="41"/>
      <c r="AK148" s="41"/>
    </row>
    <row r="149" spans="1:58" ht="30.6" customHeight="1" thickBot="1">
      <c r="A149" s="1011"/>
      <c r="B149" s="1104"/>
      <c r="C149" s="1107"/>
      <c r="D149" s="1123"/>
      <c r="E149" s="600" t="s">
        <v>526</v>
      </c>
      <c r="F149" s="604">
        <v>0.25</v>
      </c>
      <c r="G149" s="604">
        <v>0</v>
      </c>
      <c r="H149" s="604">
        <v>0</v>
      </c>
      <c r="I149" s="591">
        <v>1</v>
      </c>
      <c r="J149" s="591">
        <v>1</v>
      </c>
      <c r="K149" s="603">
        <v>0.25</v>
      </c>
      <c r="L149" s="603">
        <v>0.25</v>
      </c>
      <c r="M149" s="603">
        <v>0.25</v>
      </c>
      <c r="N149" s="603">
        <v>0.25</v>
      </c>
      <c r="O149" s="591">
        <v>0.25</v>
      </c>
      <c r="P149" s="591">
        <v>0.25</v>
      </c>
      <c r="Q149" s="591">
        <v>0.25</v>
      </c>
      <c r="R149" s="591">
        <v>0.25</v>
      </c>
      <c r="S149" s="591">
        <v>0.25</v>
      </c>
      <c r="T149" s="591">
        <v>0.25</v>
      </c>
      <c r="U149" s="591">
        <v>0.25</v>
      </c>
      <c r="V149" s="591">
        <v>0.25</v>
      </c>
      <c r="W149" s="591">
        <v>0.25</v>
      </c>
      <c r="X149" s="591">
        <v>0.25</v>
      </c>
      <c r="Y149" s="591">
        <v>0.25</v>
      </c>
      <c r="Z149" s="591">
        <v>0.25</v>
      </c>
      <c r="AA149" s="591">
        <v>0.25</v>
      </c>
      <c r="AB149" s="591">
        <v>0.25</v>
      </c>
      <c r="AC149" s="592">
        <v>0.25</v>
      </c>
      <c r="AD149" s="41"/>
      <c r="AE149" s="41"/>
      <c r="AF149" s="41"/>
      <c r="AG149" s="41"/>
      <c r="AH149" s="41"/>
      <c r="AI149" s="41"/>
      <c r="AJ149" s="41"/>
      <c r="AK149" s="41"/>
    </row>
    <row r="150" spans="1:58" ht="30.6" customHeight="1">
      <c r="A150" s="1063" t="str">
        <f>A132</f>
        <v>Dining and Café</v>
      </c>
      <c r="B150" s="1124" t="str">
        <f>B144</f>
        <v>Restaurant</v>
      </c>
      <c r="C150" s="1029" t="s">
        <v>715</v>
      </c>
      <c r="D150" s="1125" t="s">
        <v>735</v>
      </c>
      <c r="E150" s="536" t="s">
        <v>517</v>
      </c>
      <c r="F150" s="543">
        <f>IF(F141=1,Thermostat!$B$3,Thermostat!$B$4)</f>
        <v>70</v>
      </c>
      <c r="G150" s="543">
        <f>IF(G141=1,Thermostat!$B$3,Thermostat!$B$4)</f>
        <v>60</v>
      </c>
      <c r="H150" s="543">
        <f>IF(H141=1,Thermostat!$B$3,Thermostat!$B$4)</f>
        <v>60</v>
      </c>
      <c r="I150" s="543">
        <f>IF(I141=1,Thermostat!$B$3,Thermostat!$B$4)</f>
        <v>60</v>
      </c>
      <c r="J150" s="543">
        <f>IF(J141=1,Thermostat!$B$3,Thermostat!$B$4)</f>
        <v>70</v>
      </c>
      <c r="K150" s="543">
        <f>IF(K141=1,Thermostat!$B$3,Thermostat!$B$4)</f>
        <v>70</v>
      </c>
      <c r="L150" s="543">
        <f>IF(L141=1,Thermostat!$B$3,Thermostat!$B$4)</f>
        <v>70</v>
      </c>
      <c r="M150" s="543">
        <f>IF(M141=1,Thermostat!$B$3,Thermostat!$B$4)</f>
        <v>70</v>
      </c>
      <c r="N150" s="543">
        <f>IF(N141=1,Thermostat!$B$3,Thermostat!$B$4)</f>
        <v>70</v>
      </c>
      <c r="O150" s="543">
        <f>IF(O141=1,Thermostat!$B$3,Thermostat!$B$4)</f>
        <v>70</v>
      </c>
      <c r="P150" s="543">
        <f>IF(P141=1,Thermostat!$B$3,Thermostat!$B$4)</f>
        <v>70</v>
      </c>
      <c r="Q150" s="543">
        <f>IF(Q141=1,Thermostat!$B$3,Thermostat!$B$4)</f>
        <v>70</v>
      </c>
      <c r="R150" s="543">
        <f>IF(R141=1,Thermostat!$B$3,Thermostat!$B$4)</f>
        <v>70</v>
      </c>
      <c r="S150" s="543">
        <f>IF(S141=1,Thermostat!$B$3,Thermostat!$B$4)</f>
        <v>70</v>
      </c>
      <c r="T150" s="543">
        <f>IF(T141=1,Thermostat!$B$3,Thermostat!$B$4)</f>
        <v>70</v>
      </c>
      <c r="U150" s="543">
        <f>IF(U141=1,Thermostat!$B$3,Thermostat!$B$4)</f>
        <v>70</v>
      </c>
      <c r="V150" s="543">
        <f>IF(V141=1,Thermostat!$B$3,Thermostat!$B$4)</f>
        <v>70</v>
      </c>
      <c r="W150" s="543">
        <f>IF(W141=1,Thermostat!$B$3,Thermostat!$B$4)</f>
        <v>70</v>
      </c>
      <c r="X150" s="543">
        <f>IF(X141=1,Thermostat!$B$3,Thermostat!$B$4)</f>
        <v>70</v>
      </c>
      <c r="Y150" s="543">
        <f>IF(Y141=1,Thermostat!$B$3,Thermostat!$B$4)</f>
        <v>70</v>
      </c>
      <c r="Z150" s="543">
        <f>IF(Z141=1,Thermostat!$B$3,Thermostat!$B$4)</f>
        <v>70</v>
      </c>
      <c r="AA150" s="543">
        <f>IF(AA141=1,Thermostat!$B$3,Thermostat!$B$4)</f>
        <v>70</v>
      </c>
      <c r="AB150" s="543">
        <f>IF(AB141=1,Thermostat!$B$3,Thermostat!$B$4)</f>
        <v>70</v>
      </c>
      <c r="AC150" s="544">
        <f>IF(AC141=1,Thermostat!$B$3,Thermostat!$B$4)</f>
        <v>70</v>
      </c>
      <c r="AD150" s="41"/>
      <c r="AE150" s="41"/>
      <c r="AF150" s="41"/>
      <c r="AG150" s="41"/>
      <c r="AH150" s="41"/>
      <c r="AI150" s="41"/>
      <c r="AJ150" s="41"/>
      <c r="AK150" s="41"/>
    </row>
    <row r="151" spans="1:58" ht="30.6" customHeight="1">
      <c r="A151" s="1058"/>
      <c r="B151" s="1096"/>
      <c r="C151" s="1003"/>
      <c r="D151" s="1126"/>
      <c r="E151" s="537" t="s">
        <v>524</v>
      </c>
      <c r="F151" s="545">
        <f>IF(F142=1,Thermostat!$B$3,Thermostat!$B$4)</f>
        <v>70</v>
      </c>
      <c r="G151" s="545">
        <f>IF(G142=1,Thermostat!$B$3,Thermostat!$B$4)</f>
        <v>60</v>
      </c>
      <c r="H151" s="545">
        <f>IF(H142=1,Thermostat!$B$3,Thermostat!$B$4)</f>
        <v>60</v>
      </c>
      <c r="I151" s="545">
        <f>IF(I142=1,Thermostat!$B$3,Thermostat!$B$4)</f>
        <v>60</v>
      </c>
      <c r="J151" s="545">
        <f>IF(J142=1,Thermostat!$B$3,Thermostat!$B$4)</f>
        <v>60</v>
      </c>
      <c r="K151" s="545">
        <f>IF(K142=1,Thermostat!$B$3,Thermostat!$B$4)</f>
        <v>70</v>
      </c>
      <c r="L151" s="545">
        <f>IF(L142=1,Thermostat!$B$3,Thermostat!$B$4)</f>
        <v>70</v>
      </c>
      <c r="M151" s="545">
        <f>IF(M142=1,Thermostat!$B$3,Thermostat!$B$4)</f>
        <v>70</v>
      </c>
      <c r="N151" s="545">
        <f>IF(N142=1,Thermostat!$B$3,Thermostat!$B$4)</f>
        <v>70</v>
      </c>
      <c r="O151" s="545">
        <f>IF(O142=1,Thermostat!$B$3,Thermostat!$B$4)</f>
        <v>70</v>
      </c>
      <c r="P151" s="545">
        <f>IF(P142=1,Thermostat!$B$3,Thermostat!$B$4)</f>
        <v>70</v>
      </c>
      <c r="Q151" s="545">
        <f>IF(Q142=1,Thermostat!$B$3,Thermostat!$B$4)</f>
        <v>70</v>
      </c>
      <c r="R151" s="545">
        <f>IF(R142=1,Thermostat!$B$3,Thermostat!$B$4)</f>
        <v>70</v>
      </c>
      <c r="S151" s="545">
        <f>IF(S142=1,Thermostat!$B$3,Thermostat!$B$4)</f>
        <v>70</v>
      </c>
      <c r="T151" s="545">
        <f>IF(T142=1,Thermostat!$B$3,Thermostat!$B$4)</f>
        <v>70</v>
      </c>
      <c r="U151" s="545">
        <f>IF(U142=1,Thermostat!$B$3,Thermostat!$B$4)</f>
        <v>70</v>
      </c>
      <c r="V151" s="545">
        <f>IF(V142=1,Thermostat!$B$3,Thermostat!$B$4)</f>
        <v>70</v>
      </c>
      <c r="W151" s="545">
        <f>IF(W142=1,Thermostat!$B$3,Thermostat!$B$4)</f>
        <v>70</v>
      </c>
      <c r="X151" s="545">
        <f>IF(X142=1,Thermostat!$B$3,Thermostat!$B$4)</f>
        <v>70</v>
      </c>
      <c r="Y151" s="545">
        <f>IF(Y142=1,Thermostat!$B$3,Thermostat!$B$4)</f>
        <v>70</v>
      </c>
      <c r="Z151" s="545">
        <f>IF(Z142=1,Thermostat!$B$3,Thermostat!$B$4)</f>
        <v>70</v>
      </c>
      <c r="AA151" s="545">
        <f>IF(AA142=1,Thermostat!$B$3,Thermostat!$B$4)</f>
        <v>70</v>
      </c>
      <c r="AB151" s="545">
        <f>IF(AB142=1,Thermostat!$B$3,Thermostat!$B$4)</f>
        <v>70</v>
      </c>
      <c r="AC151" s="546">
        <f>IF(AC142=1,Thermostat!$B$3,Thermostat!$B$4)</f>
        <v>70</v>
      </c>
      <c r="AD151" s="41"/>
      <c r="AE151" s="41"/>
      <c r="AF151" s="41"/>
      <c r="AG151" s="41"/>
      <c r="AH151" s="41"/>
      <c r="AI151" s="41"/>
      <c r="AJ151" s="41"/>
      <c r="AK151" s="41"/>
    </row>
    <row r="152" spans="1:58" ht="30.6" customHeight="1" thickBot="1">
      <c r="A152" s="1064"/>
      <c r="B152" s="1097"/>
      <c r="C152" s="1030"/>
      <c r="D152" s="1127"/>
      <c r="E152" s="555" t="s">
        <v>526</v>
      </c>
      <c r="F152" s="545">
        <f>IF(F143=1,Thermostat!$B$3,Thermostat!$B$4)</f>
        <v>70</v>
      </c>
      <c r="G152" s="545">
        <f>IF(G143=1,Thermostat!$B$3,Thermostat!$B$4)</f>
        <v>60</v>
      </c>
      <c r="H152" s="545">
        <f>IF(H143=1,Thermostat!$B$3,Thermostat!$B$4)</f>
        <v>60</v>
      </c>
      <c r="I152" s="545">
        <f>IF(I143=1,Thermostat!$B$3,Thermostat!$B$4)</f>
        <v>60</v>
      </c>
      <c r="J152" s="545">
        <f>IF(J143=1,Thermostat!$B$3,Thermostat!$B$4)</f>
        <v>60</v>
      </c>
      <c r="K152" s="545">
        <f>IF(K143=1,Thermostat!$B$3,Thermostat!$B$4)</f>
        <v>70</v>
      </c>
      <c r="L152" s="545">
        <f>IF(L143=1,Thermostat!$B$3,Thermostat!$B$4)</f>
        <v>70</v>
      </c>
      <c r="M152" s="545">
        <f>IF(M143=1,Thermostat!$B$3,Thermostat!$B$4)</f>
        <v>70</v>
      </c>
      <c r="N152" s="545">
        <f>IF(N143=1,Thermostat!$B$3,Thermostat!$B$4)</f>
        <v>70</v>
      </c>
      <c r="O152" s="545">
        <f>IF(O143=1,Thermostat!$B$3,Thermostat!$B$4)</f>
        <v>70</v>
      </c>
      <c r="P152" s="545">
        <f>IF(P143=1,Thermostat!$B$3,Thermostat!$B$4)</f>
        <v>70</v>
      </c>
      <c r="Q152" s="545">
        <f>IF(Q143=1,Thermostat!$B$3,Thermostat!$B$4)</f>
        <v>70</v>
      </c>
      <c r="R152" s="545">
        <f>IF(R143=1,Thermostat!$B$3,Thermostat!$B$4)</f>
        <v>70</v>
      </c>
      <c r="S152" s="545">
        <f>IF(S143=1,Thermostat!$B$3,Thermostat!$B$4)</f>
        <v>70</v>
      </c>
      <c r="T152" s="545">
        <f>IF(T143=1,Thermostat!$B$3,Thermostat!$B$4)</f>
        <v>70</v>
      </c>
      <c r="U152" s="545">
        <f>IF(U143=1,Thermostat!$B$3,Thermostat!$B$4)</f>
        <v>70</v>
      </c>
      <c r="V152" s="545">
        <f>IF(V143=1,Thermostat!$B$3,Thermostat!$B$4)</f>
        <v>70</v>
      </c>
      <c r="W152" s="545">
        <f>IF(W143=1,Thermostat!$B$3,Thermostat!$B$4)</f>
        <v>70</v>
      </c>
      <c r="X152" s="545">
        <f>IF(X143=1,Thermostat!$B$3,Thermostat!$B$4)</f>
        <v>70</v>
      </c>
      <c r="Y152" s="545">
        <f>IF(Y143=1,Thermostat!$B$3,Thermostat!$B$4)</f>
        <v>70</v>
      </c>
      <c r="Z152" s="545">
        <f>IF(Z143=1,Thermostat!$B$3,Thermostat!$B$4)</f>
        <v>70</v>
      </c>
      <c r="AA152" s="545">
        <f>IF(AA143=1,Thermostat!$B$3,Thermostat!$B$4)</f>
        <v>70</v>
      </c>
      <c r="AB152" s="545">
        <f>IF(AB143=1,Thermostat!$B$3,Thermostat!$B$4)</f>
        <v>70</v>
      </c>
      <c r="AC152" s="546">
        <f>IF(AC143=1,Thermostat!$B$3,Thermostat!$B$4)</f>
        <v>70</v>
      </c>
      <c r="AD152" s="41"/>
      <c r="AE152" s="41"/>
      <c r="AF152" s="41"/>
      <c r="AG152" s="41"/>
      <c r="AH152" s="41"/>
      <c r="AI152" s="41"/>
      <c r="AJ152" s="41"/>
      <c r="AK152" s="41"/>
    </row>
    <row r="153" spans="1:58" ht="30.6" customHeight="1">
      <c r="A153" s="999" t="str">
        <f>A132</f>
        <v>Dining and Café</v>
      </c>
      <c r="B153" s="1095" t="str">
        <f>B147</f>
        <v>Restaurant</v>
      </c>
      <c r="C153" s="1005" t="s">
        <v>716</v>
      </c>
      <c r="D153" s="1092" t="s">
        <v>735</v>
      </c>
      <c r="E153" s="577" t="s">
        <v>517</v>
      </c>
      <c r="F153" s="539">
        <f>IF(F141=1,Thermostat!$B$5,Thermostat!$B$6)</f>
        <v>75</v>
      </c>
      <c r="G153" s="539">
        <f>IF(G141=1,Thermostat!$B$5,Thermostat!$B$6)</f>
        <v>85</v>
      </c>
      <c r="H153" s="539">
        <f>IF(H141=1,Thermostat!$B$5,Thermostat!$B$6)</f>
        <v>85</v>
      </c>
      <c r="I153" s="539">
        <f>IF(I141=1,Thermostat!$B$5,Thermostat!$B$6)</f>
        <v>85</v>
      </c>
      <c r="J153" s="539">
        <f>IF(J141=1,Thermostat!$B$5,Thermostat!$B$6)</f>
        <v>75</v>
      </c>
      <c r="K153" s="539">
        <f>IF(K141=1,Thermostat!$B$5,Thermostat!$B$6)</f>
        <v>75</v>
      </c>
      <c r="L153" s="539">
        <f>IF(L141=1,Thermostat!$B$5,Thermostat!$B$6)</f>
        <v>75</v>
      </c>
      <c r="M153" s="539">
        <f>IF(M141=1,Thermostat!$B$5,Thermostat!$B$6)</f>
        <v>75</v>
      </c>
      <c r="N153" s="539">
        <f>IF(N141=1,Thermostat!$B$5,Thermostat!$B$6)</f>
        <v>75</v>
      </c>
      <c r="O153" s="539">
        <f>IF(O141=1,Thermostat!$B$5,Thermostat!$B$6)</f>
        <v>75</v>
      </c>
      <c r="P153" s="539">
        <f>IF(P141=1,Thermostat!$B$5,Thermostat!$B$6)</f>
        <v>75</v>
      </c>
      <c r="Q153" s="539">
        <f>IF(Q141=1,Thermostat!$B$5,Thermostat!$B$6)</f>
        <v>75</v>
      </c>
      <c r="R153" s="539">
        <f>IF(R141=1,Thermostat!$B$5,Thermostat!$B$6)</f>
        <v>75</v>
      </c>
      <c r="S153" s="539">
        <f>IF(S141=1,Thermostat!$B$5,Thermostat!$B$6)</f>
        <v>75</v>
      </c>
      <c r="T153" s="539">
        <f>IF(T141=1,Thermostat!$B$5,Thermostat!$B$6)</f>
        <v>75</v>
      </c>
      <c r="U153" s="539">
        <f>IF(U141=1,Thermostat!$B$5,Thermostat!$B$6)</f>
        <v>75</v>
      </c>
      <c r="V153" s="539">
        <f>IF(V141=1,Thermostat!$B$5,Thermostat!$B$6)</f>
        <v>75</v>
      </c>
      <c r="W153" s="539">
        <f>IF(W141=1,Thermostat!$B$5,Thermostat!$B$6)</f>
        <v>75</v>
      </c>
      <c r="X153" s="539">
        <f>IF(X141=1,Thermostat!$B$5,Thermostat!$B$6)</f>
        <v>75</v>
      </c>
      <c r="Y153" s="539">
        <f>IF(Y141=1,Thermostat!$B$5,Thermostat!$B$6)</f>
        <v>75</v>
      </c>
      <c r="Z153" s="539">
        <f>IF(Z141=1,Thermostat!$B$5,Thermostat!$B$6)</f>
        <v>75</v>
      </c>
      <c r="AA153" s="539">
        <f>IF(AA141=1,Thermostat!$B$5,Thermostat!$B$6)</f>
        <v>75</v>
      </c>
      <c r="AB153" s="539">
        <f>IF(AB141=1,Thermostat!$B$5,Thermostat!$B$6)</f>
        <v>75</v>
      </c>
      <c r="AC153" s="540">
        <f>IF(AC141=1,Thermostat!$B$5,Thermostat!$B$6)</f>
        <v>75</v>
      </c>
      <c r="AD153" s="41"/>
      <c r="AE153" s="41"/>
      <c r="AF153" s="41"/>
      <c r="AG153" s="41"/>
      <c r="AH153" s="41"/>
      <c r="AI153" s="41"/>
      <c r="AJ153" s="41"/>
      <c r="AK153" s="41"/>
    </row>
    <row r="154" spans="1:58" ht="30.6" customHeight="1">
      <c r="A154" s="1000"/>
      <c r="B154" s="1096"/>
      <c r="C154" s="1003"/>
      <c r="D154" s="1086"/>
      <c r="E154" s="578" t="s">
        <v>524</v>
      </c>
      <c r="F154" s="532">
        <f>IF(F142=1,Thermostat!$B$5,Thermostat!$B$6)</f>
        <v>75</v>
      </c>
      <c r="G154" s="532">
        <f>IF(G142=1,Thermostat!$B$5,Thermostat!$B$6)</f>
        <v>85</v>
      </c>
      <c r="H154" s="532">
        <f>IF(H142=1,Thermostat!$B$5,Thermostat!$B$6)</f>
        <v>85</v>
      </c>
      <c r="I154" s="532">
        <f>IF(I142=1,Thermostat!$B$5,Thermostat!$B$6)</f>
        <v>85</v>
      </c>
      <c r="J154" s="532">
        <f>IF(J142=1,Thermostat!$B$5,Thermostat!$B$6)</f>
        <v>85</v>
      </c>
      <c r="K154" s="532">
        <f>IF(K142=1,Thermostat!$B$5,Thermostat!$B$6)</f>
        <v>75</v>
      </c>
      <c r="L154" s="532">
        <f>IF(L142=1,Thermostat!$B$5,Thermostat!$B$6)</f>
        <v>75</v>
      </c>
      <c r="M154" s="532">
        <f>IF(M142=1,Thermostat!$B$5,Thermostat!$B$6)</f>
        <v>75</v>
      </c>
      <c r="N154" s="532">
        <f>IF(N142=1,Thermostat!$B$5,Thermostat!$B$6)</f>
        <v>75</v>
      </c>
      <c r="O154" s="532">
        <f>IF(O142=1,Thermostat!$B$5,Thermostat!$B$6)</f>
        <v>75</v>
      </c>
      <c r="P154" s="532">
        <f>IF(P142=1,Thermostat!$B$5,Thermostat!$B$6)</f>
        <v>75</v>
      </c>
      <c r="Q154" s="532">
        <f>IF(Q142=1,Thermostat!$B$5,Thermostat!$B$6)</f>
        <v>75</v>
      </c>
      <c r="R154" s="532">
        <f>IF(R142=1,Thermostat!$B$5,Thermostat!$B$6)</f>
        <v>75</v>
      </c>
      <c r="S154" s="532">
        <f>IF(S142=1,Thermostat!$B$5,Thermostat!$B$6)</f>
        <v>75</v>
      </c>
      <c r="T154" s="532">
        <f>IF(T142=1,Thermostat!$B$5,Thermostat!$B$6)</f>
        <v>75</v>
      </c>
      <c r="U154" s="532">
        <f>IF(U142=1,Thermostat!$B$5,Thermostat!$B$6)</f>
        <v>75</v>
      </c>
      <c r="V154" s="532">
        <f>IF(V142=1,Thermostat!$B$5,Thermostat!$B$6)</f>
        <v>75</v>
      </c>
      <c r="W154" s="532">
        <f>IF(W142=1,Thermostat!$B$5,Thermostat!$B$6)</f>
        <v>75</v>
      </c>
      <c r="X154" s="532">
        <f>IF(X142=1,Thermostat!$B$5,Thermostat!$B$6)</f>
        <v>75</v>
      </c>
      <c r="Y154" s="532">
        <f>IF(Y142=1,Thermostat!$B$5,Thermostat!$B$6)</f>
        <v>75</v>
      </c>
      <c r="Z154" s="532">
        <f>IF(Z142=1,Thermostat!$B$5,Thermostat!$B$6)</f>
        <v>75</v>
      </c>
      <c r="AA154" s="532">
        <f>IF(AA142=1,Thermostat!$B$5,Thermostat!$B$6)</f>
        <v>75</v>
      </c>
      <c r="AB154" s="532">
        <f>IF(AB142=1,Thermostat!$B$5,Thermostat!$B$6)</f>
        <v>75</v>
      </c>
      <c r="AC154" s="533">
        <f>IF(AC142=1,Thermostat!$B$5,Thermostat!$B$6)</f>
        <v>75</v>
      </c>
      <c r="AD154" s="41"/>
      <c r="AE154" s="41"/>
      <c r="AF154" s="41"/>
      <c r="AG154" s="41"/>
      <c r="AH154" s="41"/>
      <c r="AI154" s="41"/>
      <c r="AJ154" s="41"/>
      <c r="AK154" s="41"/>
    </row>
    <row r="155" spans="1:58" ht="30.6" customHeight="1" thickBot="1">
      <c r="A155" s="1001"/>
      <c r="B155" s="1098"/>
      <c r="C155" s="1004"/>
      <c r="D155" s="1093"/>
      <c r="E155" s="579" t="s">
        <v>526</v>
      </c>
      <c r="F155" s="541">
        <f>IF(F143=1,Thermostat!$B$5,Thermostat!$B$6)</f>
        <v>75</v>
      </c>
      <c r="G155" s="541">
        <f>IF(G143=1,Thermostat!$B$5,Thermostat!$B$6)</f>
        <v>85</v>
      </c>
      <c r="H155" s="541">
        <f>IF(H143=1,Thermostat!$B$5,Thermostat!$B$6)</f>
        <v>85</v>
      </c>
      <c r="I155" s="541">
        <f>IF(I143=1,Thermostat!$B$5,Thermostat!$B$6)</f>
        <v>85</v>
      </c>
      <c r="J155" s="541">
        <f>IF(J143=1,Thermostat!$B$5,Thermostat!$B$6)</f>
        <v>85</v>
      </c>
      <c r="K155" s="541">
        <f>IF(K143=1,Thermostat!$B$5,Thermostat!$B$6)</f>
        <v>75</v>
      </c>
      <c r="L155" s="541">
        <f>IF(L143=1,Thermostat!$B$5,Thermostat!$B$6)</f>
        <v>75</v>
      </c>
      <c r="M155" s="541">
        <f>IF(M143=1,Thermostat!$B$5,Thermostat!$B$6)</f>
        <v>75</v>
      </c>
      <c r="N155" s="541">
        <f>IF(N143=1,Thermostat!$B$5,Thermostat!$B$6)</f>
        <v>75</v>
      </c>
      <c r="O155" s="541">
        <f>IF(O143=1,Thermostat!$B$5,Thermostat!$B$6)</f>
        <v>75</v>
      </c>
      <c r="P155" s="541">
        <f>IF(P143=1,Thermostat!$B$5,Thermostat!$B$6)</f>
        <v>75</v>
      </c>
      <c r="Q155" s="541">
        <f>IF(Q143=1,Thermostat!$B$5,Thermostat!$B$6)</f>
        <v>75</v>
      </c>
      <c r="R155" s="541">
        <f>IF(R143=1,Thermostat!$B$5,Thermostat!$B$6)</f>
        <v>75</v>
      </c>
      <c r="S155" s="541">
        <f>IF(S143=1,Thermostat!$B$5,Thermostat!$B$6)</f>
        <v>75</v>
      </c>
      <c r="T155" s="541">
        <f>IF(T143=1,Thermostat!$B$5,Thermostat!$B$6)</f>
        <v>75</v>
      </c>
      <c r="U155" s="541">
        <f>IF(U143=1,Thermostat!$B$5,Thermostat!$B$6)</f>
        <v>75</v>
      </c>
      <c r="V155" s="541">
        <f>IF(V143=1,Thermostat!$B$5,Thermostat!$B$6)</f>
        <v>75</v>
      </c>
      <c r="W155" s="541">
        <f>IF(W143=1,Thermostat!$B$5,Thermostat!$B$6)</f>
        <v>75</v>
      </c>
      <c r="X155" s="541">
        <f>IF(X143=1,Thermostat!$B$5,Thermostat!$B$6)</f>
        <v>75</v>
      </c>
      <c r="Y155" s="541">
        <f>IF(Y143=1,Thermostat!$B$5,Thermostat!$B$6)</f>
        <v>75</v>
      </c>
      <c r="Z155" s="541">
        <f>IF(Z143=1,Thermostat!$B$5,Thermostat!$B$6)</f>
        <v>75</v>
      </c>
      <c r="AA155" s="541">
        <f>IF(AA143=1,Thermostat!$B$5,Thermostat!$B$6)</f>
        <v>75</v>
      </c>
      <c r="AB155" s="541">
        <f>IF(AB143=1,Thermostat!$B$5,Thermostat!$B$6)</f>
        <v>75</v>
      </c>
      <c r="AC155" s="542">
        <f>IF(AC143=1,Thermostat!$B$5,Thermostat!$B$6)</f>
        <v>75</v>
      </c>
      <c r="AD155" s="41"/>
      <c r="AE155" s="41"/>
      <c r="AF155" s="41"/>
      <c r="AG155" s="41"/>
      <c r="AH155" s="41"/>
      <c r="AI155" s="41"/>
      <c r="AJ155" s="41"/>
      <c r="AK155" s="41"/>
    </row>
    <row r="156" spans="1:58" ht="30.6" customHeight="1" thickBot="1">
      <c r="A156" s="1135" t="s">
        <v>122</v>
      </c>
      <c r="B156" s="1136"/>
      <c r="C156" s="1136"/>
      <c r="D156" s="1136"/>
      <c r="E156" s="1136"/>
      <c r="F156" s="1136"/>
      <c r="G156" s="1136"/>
      <c r="H156" s="1136"/>
      <c r="I156" s="1136"/>
      <c r="J156" s="1136"/>
      <c r="K156" s="1136"/>
      <c r="L156" s="1136"/>
      <c r="M156" s="1136"/>
      <c r="N156" s="1136"/>
      <c r="O156" s="1136"/>
      <c r="P156" s="1136"/>
      <c r="Q156" s="1136"/>
      <c r="R156" s="1136"/>
      <c r="S156" s="1136"/>
      <c r="T156" s="1136"/>
      <c r="U156" s="1136"/>
      <c r="V156" s="1136"/>
      <c r="W156" s="1136"/>
      <c r="X156" s="1136"/>
      <c r="Y156" s="1136"/>
      <c r="Z156" s="1136"/>
      <c r="AA156" s="1136"/>
      <c r="AB156" s="1136"/>
      <c r="AC156" s="1137"/>
      <c r="AD156" s="41"/>
      <c r="AE156" s="41"/>
      <c r="AF156" s="41"/>
      <c r="AG156" s="41"/>
      <c r="AH156" s="41"/>
      <c r="AI156" s="41"/>
      <c r="AJ156" s="41"/>
      <c r="AK156" s="41"/>
    </row>
    <row r="157" spans="1:58" ht="30.6" customHeight="1">
      <c r="A157" s="1009" t="s">
        <v>122</v>
      </c>
      <c r="B157" s="1102" t="s">
        <v>122</v>
      </c>
      <c r="C157" s="1102" t="s">
        <v>736</v>
      </c>
      <c r="D157" s="1108" t="s">
        <v>730</v>
      </c>
      <c r="E157" s="625" t="s">
        <v>517</v>
      </c>
      <c r="F157" s="588">
        <v>0.05</v>
      </c>
      <c r="G157" s="588">
        <v>0</v>
      </c>
      <c r="H157" s="588">
        <v>0</v>
      </c>
      <c r="I157" s="588">
        <v>0</v>
      </c>
      <c r="J157" s="588">
        <v>0</v>
      </c>
      <c r="K157" s="588">
        <v>0.05</v>
      </c>
      <c r="L157" s="588">
        <v>0.1</v>
      </c>
      <c r="M157" s="588">
        <v>0.4</v>
      </c>
      <c r="N157" s="588">
        <v>0.4</v>
      </c>
      <c r="O157" s="588">
        <v>0.4</v>
      </c>
      <c r="P157" s="588">
        <v>0.2</v>
      </c>
      <c r="Q157" s="588">
        <v>0.5</v>
      </c>
      <c r="R157" s="588">
        <v>0.8</v>
      </c>
      <c r="S157" s="588">
        <v>0.7</v>
      </c>
      <c r="T157" s="588">
        <v>0.4</v>
      </c>
      <c r="U157" s="588">
        <v>0.2</v>
      </c>
      <c r="V157" s="588">
        <v>0.25</v>
      </c>
      <c r="W157" s="588">
        <v>0.5</v>
      </c>
      <c r="X157" s="588">
        <v>0.8</v>
      </c>
      <c r="Y157" s="588">
        <v>0.8</v>
      </c>
      <c r="Z157" s="588">
        <v>0.8</v>
      </c>
      <c r="AA157" s="588">
        <v>0.5</v>
      </c>
      <c r="AB157" s="588">
        <v>0.35</v>
      </c>
      <c r="AC157" s="589">
        <v>0.2</v>
      </c>
      <c r="AD157" s="41"/>
      <c r="AE157" s="742"/>
      <c r="AF157" s="742"/>
      <c r="AG157" s="742"/>
      <c r="AH157" s="742"/>
      <c r="AI157" s="742"/>
      <c r="AJ157" s="742"/>
      <c r="AK157" s="742"/>
      <c r="AL157" s="742"/>
      <c r="AM157" s="742"/>
      <c r="AN157" s="742"/>
      <c r="AO157" s="742"/>
      <c r="AP157" s="742"/>
      <c r="AQ157" s="742"/>
      <c r="AR157" s="742"/>
      <c r="AS157" s="742"/>
      <c r="AT157" s="742"/>
      <c r="AU157" s="742"/>
      <c r="AV157" s="742"/>
      <c r="AW157" s="742"/>
      <c r="AX157" s="742"/>
      <c r="AY157" s="742"/>
      <c r="AZ157" s="742"/>
      <c r="BA157" s="742"/>
      <c r="BB157" s="742"/>
      <c r="BC157" s="742"/>
      <c r="BD157" s="742"/>
      <c r="BE157" s="742"/>
      <c r="BF157" s="742"/>
    </row>
    <row r="158" spans="1:58" ht="30.6" customHeight="1">
      <c r="A158" s="1010"/>
      <c r="B158" s="1103"/>
      <c r="C158" s="1103"/>
      <c r="D158" s="1109"/>
      <c r="E158" s="626" t="s">
        <v>524</v>
      </c>
      <c r="F158" s="90">
        <v>0.05</v>
      </c>
      <c r="G158" s="90">
        <v>0</v>
      </c>
      <c r="H158" s="90">
        <v>0</v>
      </c>
      <c r="I158" s="90">
        <v>0</v>
      </c>
      <c r="J158" s="90">
        <v>0</v>
      </c>
      <c r="K158" s="90">
        <v>0</v>
      </c>
      <c r="L158" s="90">
        <v>0.05</v>
      </c>
      <c r="M158" s="90">
        <v>0.5</v>
      </c>
      <c r="N158" s="90">
        <v>0.5</v>
      </c>
      <c r="O158" s="90">
        <v>0.4</v>
      </c>
      <c r="P158" s="90">
        <v>0.2</v>
      </c>
      <c r="Q158" s="90">
        <v>0.45</v>
      </c>
      <c r="R158" s="90">
        <v>0.5</v>
      </c>
      <c r="S158" s="90">
        <v>0.5</v>
      </c>
      <c r="T158" s="90">
        <v>0.35</v>
      </c>
      <c r="U158" s="90">
        <v>0.3</v>
      </c>
      <c r="V158" s="90">
        <v>0.3</v>
      </c>
      <c r="W158" s="90">
        <v>0.3</v>
      </c>
      <c r="X158" s="90">
        <v>0.7</v>
      </c>
      <c r="Y158" s="90">
        <v>0.9</v>
      </c>
      <c r="Z158" s="90">
        <v>0.7</v>
      </c>
      <c r="AA158" s="90">
        <v>0.65</v>
      </c>
      <c r="AB158" s="90">
        <v>0.55000000000000004</v>
      </c>
      <c r="AC158" s="590">
        <v>0.35</v>
      </c>
      <c r="AD158" s="41"/>
      <c r="AE158" s="742"/>
      <c r="AF158" s="742"/>
      <c r="AG158" s="742"/>
      <c r="AH158" s="742"/>
      <c r="AI158" s="742"/>
      <c r="AJ158" s="742"/>
      <c r="AK158" s="742"/>
      <c r="AL158" s="742"/>
      <c r="AM158" s="742"/>
      <c r="AN158" s="742"/>
      <c r="AO158" s="742"/>
      <c r="AP158" s="742"/>
      <c r="AQ158" s="742"/>
      <c r="AR158" s="742"/>
      <c r="AS158" s="742"/>
      <c r="AT158" s="742"/>
      <c r="AU158" s="742"/>
      <c r="AV158" s="742"/>
      <c r="AW158" s="742"/>
      <c r="AX158" s="742"/>
      <c r="AY158" s="742"/>
      <c r="AZ158" s="742"/>
      <c r="BA158" s="742"/>
      <c r="BB158" s="742"/>
      <c r="BC158" s="742"/>
      <c r="BD158" s="742"/>
      <c r="BE158" s="742"/>
      <c r="BF158" s="742"/>
    </row>
    <row r="159" spans="1:58" ht="30.6" customHeight="1" thickBot="1">
      <c r="A159" s="1011"/>
      <c r="B159" s="1104"/>
      <c r="C159" s="1104"/>
      <c r="D159" s="1110"/>
      <c r="E159" s="627" t="s">
        <v>526</v>
      </c>
      <c r="F159" s="591">
        <v>0.05</v>
      </c>
      <c r="G159" s="591">
        <v>0</v>
      </c>
      <c r="H159" s="591">
        <v>0</v>
      </c>
      <c r="I159" s="591">
        <v>0</v>
      </c>
      <c r="J159" s="591">
        <v>0</v>
      </c>
      <c r="K159" s="591">
        <v>0</v>
      </c>
      <c r="L159" s="591">
        <v>0.05</v>
      </c>
      <c r="M159" s="591">
        <v>0.5</v>
      </c>
      <c r="N159" s="591">
        <v>0.5</v>
      </c>
      <c r="O159" s="591">
        <v>0.2</v>
      </c>
      <c r="P159" s="591">
        <v>0.2</v>
      </c>
      <c r="Q159" s="591">
        <v>0.3</v>
      </c>
      <c r="R159" s="591">
        <v>0.5</v>
      </c>
      <c r="S159" s="591">
        <v>0.5</v>
      </c>
      <c r="T159" s="591">
        <v>0.3</v>
      </c>
      <c r="U159" s="591">
        <v>0.2</v>
      </c>
      <c r="V159" s="591">
        <v>0.25</v>
      </c>
      <c r="W159" s="591">
        <v>0.35</v>
      </c>
      <c r="X159" s="591">
        <v>0.55000000000000004</v>
      </c>
      <c r="Y159" s="591">
        <v>0.65</v>
      </c>
      <c r="Z159" s="591">
        <v>0.7</v>
      </c>
      <c r="AA159" s="591">
        <v>0.35</v>
      </c>
      <c r="AB159" s="591">
        <v>0.2</v>
      </c>
      <c r="AC159" s="592">
        <v>0.2</v>
      </c>
      <c r="AD159" s="41"/>
      <c r="AE159" s="742"/>
      <c r="AF159" s="742"/>
      <c r="AG159" s="742"/>
      <c r="AH159" s="742"/>
      <c r="AI159" s="742"/>
      <c r="AJ159" s="742"/>
      <c r="AK159" s="742"/>
      <c r="AL159" s="742"/>
      <c r="AM159" s="742"/>
      <c r="AN159" s="742"/>
      <c r="AO159" s="742"/>
      <c r="AP159" s="742"/>
      <c r="AQ159" s="742"/>
      <c r="AR159" s="742"/>
      <c r="AS159" s="742"/>
      <c r="AT159" s="742"/>
      <c r="AU159" s="742"/>
      <c r="AV159" s="742"/>
      <c r="AW159" s="742"/>
      <c r="AX159" s="742"/>
      <c r="AY159" s="742"/>
      <c r="AZ159" s="742"/>
      <c r="BA159" s="742"/>
      <c r="BB159" s="742"/>
      <c r="BC159" s="742"/>
      <c r="BD159" s="742"/>
      <c r="BE159" s="742"/>
      <c r="BF159" s="742"/>
    </row>
    <row r="160" spans="1:58" ht="30.6" customHeight="1">
      <c r="A160" s="1009" t="s">
        <v>122</v>
      </c>
      <c r="B160" s="1102" t="s">
        <v>122</v>
      </c>
      <c r="C160" s="1112" t="s">
        <v>708</v>
      </c>
      <c r="D160" s="1108" t="s">
        <v>731</v>
      </c>
      <c r="E160" s="104" t="s">
        <v>517</v>
      </c>
      <c r="F160" s="92">
        <v>0.15</v>
      </c>
      <c r="G160" s="92">
        <v>0.15</v>
      </c>
      <c r="H160" s="92">
        <v>0.15</v>
      </c>
      <c r="I160" s="92">
        <v>0.15</v>
      </c>
      <c r="J160" s="92">
        <v>0.15</v>
      </c>
      <c r="K160" s="92">
        <v>0.2</v>
      </c>
      <c r="L160" s="593">
        <v>0.3</v>
      </c>
      <c r="M160" s="593">
        <f t="shared" ref="M160:AA160" si="25">M163-5%</f>
        <v>0.66999999999999993</v>
      </c>
      <c r="N160" s="593">
        <f t="shared" si="25"/>
        <v>0.73</v>
      </c>
      <c r="O160" s="593">
        <f t="shared" si="25"/>
        <v>0.75</v>
      </c>
      <c r="P160" s="593">
        <f t="shared" si="25"/>
        <v>0.85</v>
      </c>
      <c r="Q160" s="593">
        <f t="shared" si="25"/>
        <v>0.85</v>
      </c>
      <c r="R160" s="593">
        <f t="shared" si="25"/>
        <v>0.85</v>
      </c>
      <c r="S160" s="593">
        <f t="shared" si="25"/>
        <v>0.83</v>
      </c>
      <c r="T160" s="593">
        <f t="shared" si="25"/>
        <v>0.72</v>
      </c>
      <c r="U160" s="593">
        <f t="shared" si="25"/>
        <v>0.64999999999999991</v>
      </c>
      <c r="V160" s="593">
        <f t="shared" si="25"/>
        <v>0.66999999999999993</v>
      </c>
      <c r="W160" s="593">
        <f t="shared" si="25"/>
        <v>0.75</v>
      </c>
      <c r="X160" s="593">
        <f t="shared" si="25"/>
        <v>0.85</v>
      </c>
      <c r="Y160" s="593">
        <f t="shared" si="25"/>
        <v>0.85</v>
      </c>
      <c r="Z160" s="593">
        <f t="shared" si="25"/>
        <v>0.85</v>
      </c>
      <c r="AA160" s="593">
        <f t="shared" si="25"/>
        <v>0.75</v>
      </c>
      <c r="AB160" s="593">
        <f>AB163-5%</f>
        <v>0.56999999999999995</v>
      </c>
      <c r="AC160" s="97">
        <v>0.3</v>
      </c>
      <c r="AD160" s="41"/>
      <c r="AE160" s="41"/>
      <c r="AF160" s="41"/>
      <c r="AG160" s="41"/>
      <c r="AH160" s="41"/>
      <c r="AI160" s="41"/>
      <c r="AJ160" s="41"/>
      <c r="AK160" s="41"/>
    </row>
    <row r="161" spans="1:37" ht="30.6" customHeight="1">
      <c r="A161" s="1010"/>
      <c r="B161" s="1103"/>
      <c r="C161" s="1113"/>
      <c r="D161" s="1109"/>
      <c r="E161" s="101" t="s">
        <v>524</v>
      </c>
      <c r="F161" s="594">
        <f>F164</f>
        <v>0.15</v>
      </c>
      <c r="G161" s="90">
        <v>0.15</v>
      </c>
      <c r="H161" s="90">
        <v>0.15</v>
      </c>
      <c r="I161" s="90">
        <v>0.15</v>
      </c>
      <c r="J161" s="90">
        <v>0.15</v>
      </c>
      <c r="K161" s="594">
        <f>K164</f>
        <v>0.2</v>
      </c>
      <c r="L161" s="90">
        <v>0.3</v>
      </c>
      <c r="M161" s="594">
        <f t="shared" ref="M161:AA161" si="26">M164-5%</f>
        <v>0.66999999999999993</v>
      </c>
      <c r="N161" s="594">
        <f t="shared" si="26"/>
        <v>0.73</v>
      </c>
      <c r="O161" s="594">
        <f t="shared" si="26"/>
        <v>0.75</v>
      </c>
      <c r="P161" s="594">
        <f t="shared" si="26"/>
        <v>0.85</v>
      </c>
      <c r="Q161" s="594">
        <f t="shared" si="26"/>
        <v>0.85</v>
      </c>
      <c r="R161" s="594">
        <f t="shared" si="26"/>
        <v>0.85</v>
      </c>
      <c r="S161" s="594">
        <f t="shared" si="26"/>
        <v>0.83</v>
      </c>
      <c r="T161" s="594">
        <f t="shared" si="26"/>
        <v>0.72</v>
      </c>
      <c r="U161" s="594">
        <f t="shared" si="26"/>
        <v>0.64999999999999991</v>
      </c>
      <c r="V161" s="594">
        <f t="shared" si="26"/>
        <v>0.66999999999999993</v>
      </c>
      <c r="W161" s="594">
        <f t="shared" si="26"/>
        <v>0.75</v>
      </c>
      <c r="X161" s="594">
        <f t="shared" si="26"/>
        <v>0.85</v>
      </c>
      <c r="Y161" s="594">
        <f t="shared" si="26"/>
        <v>0.85</v>
      </c>
      <c r="Z161" s="594">
        <f t="shared" si="26"/>
        <v>0.85</v>
      </c>
      <c r="AA161" s="594">
        <f t="shared" si="26"/>
        <v>0.75</v>
      </c>
      <c r="AB161" s="594">
        <f>AB164-5%</f>
        <v>0.56999999999999995</v>
      </c>
      <c r="AC161" s="95">
        <v>0.3</v>
      </c>
      <c r="AD161" s="41"/>
      <c r="AE161" s="41"/>
      <c r="AF161" s="41"/>
      <c r="AG161" s="41"/>
      <c r="AH161" s="41"/>
      <c r="AI161" s="41"/>
      <c r="AJ161" s="41"/>
      <c r="AK161" s="41"/>
    </row>
    <row r="162" spans="1:37" ht="30.6" customHeight="1" thickBot="1">
      <c r="A162" s="1011"/>
      <c r="B162" s="1104"/>
      <c r="C162" s="1114"/>
      <c r="D162" s="1110"/>
      <c r="E162" s="102" t="s">
        <v>526</v>
      </c>
      <c r="F162" s="91">
        <v>0.2</v>
      </c>
      <c r="G162" s="91">
        <v>0.15</v>
      </c>
      <c r="H162" s="91">
        <v>0.15</v>
      </c>
      <c r="I162" s="91">
        <v>0.15</v>
      </c>
      <c r="J162" s="91">
        <v>0.15</v>
      </c>
      <c r="K162" s="91">
        <v>0.15</v>
      </c>
      <c r="L162" s="91">
        <v>0.3</v>
      </c>
      <c r="M162" s="595">
        <f t="shared" ref="M162:AA162" si="27">M165-5%</f>
        <v>0.66999999999999993</v>
      </c>
      <c r="N162" s="595">
        <f t="shared" si="27"/>
        <v>0.73</v>
      </c>
      <c r="O162" s="595">
        <f t="shared" si="27"/>
        <v>0.75</v>
      </c>
      <c r="P162" s="595">
        <f t="shared" si="27"/>
        <v>0.85</v>
      </c>
      <c r="Q162" s="595">
        <f t="shared" si="27"/>
        <v>0.85</v>
      </c>
      <c r="R162" s="595">
        <f t="shared" si="27"/>
        <v>0.85</v>
      </c>
      <c r="S162" s="595">
        <f t="shared" si="27"/>
        <v>0.83</v>
      </c>
      <c r="T162" s="595">
        <f t="shared" si="27"/>
        <v>0.72</v>
      </c>
      <c r="U162" s="595">
        <f t="shared" si="27"/>
        <v>0.64999999999999991</v>
      </c>
      <c r="V162" s="595">
        <f t="shared" si="27"/>
        <v>0.66999999999999993</v>
      </c>
      <c r="W162" s="595">
        <f t="shared" si="27"/>
        <v>0.75</v>
      </c>
      <c r="X162" s="595">
        <f t="shared" si="27"/>
        <v>0.85</v>
      </c>
      <c r="Y162" s="595">
        <f t="shared" si="27"/>
        <v>0.85</v>
      </c>
      <c r="Z162" s="595">
        <f t="shared" si="27"/>
        <v>0.85</v>
      </c>
      <c r="AA162" s="595">
        <f t="shared" si="27"/>
        <v>0.75</v>
      </c>
      <c r="AB162" s="595">
        <f>AB165-5%</f>
        <v>0.56999999999999995</v>
      </c>
      <c r="AC162" s="96">
        <v>0.3</v>
      </c>
      <c r="AD162" s="41"/>
      <c r="AE162" s="41"/>
      <c r="AF162" s="41"/>
      <c r="AG162" s="41"/>
      <c r="AH162" s="41"/>
      <c r="AI162" s="41"/>
      <c r="AJ162" s="41"/>
      <c r="AK162" s="41"/>
    </row>
    <row r="163" spans="1:37" ht="30.6" customHeight="1">
      <c r="A163" s="1018" t="s">
        <v>122</v>
      </c>
      <c r="B163" s="1115" t="s">
        <v>122</v>
      </c>
      <c r="C163" s="1116" t="s">
        <v>710</v>
      </c>
      <c r="D163" s="1118" t="s">
        <v>667</v>
      </c>
      <c r="E163" s="596" t="s">
        <v>517</v>
      </c>
      <c r="F163" s="588">
        <v>0.15</v>
      </c>
      <c r="G163" s="588">
        <v>0.15</v>
      </c>
      <c r="H163" s="588">
        <v>0.15</v>
      </c>
      <c r="I163" s="588">
        <v>0.15</v>
      </c>
      <c r="J163" s="588">
        <v>0.15</v>
      </c>
      <c r="K163" s="588">
        <v>0.2</v>
      </c>
      <c r="L163" s="597">
        <v>0.3</v>
      </c>
      <c r="M163" s="597">
        <v>0.72</v>
      </c>
      <c r="N163" s="597">
        <v>0.78</v>
      </c>
      <c r="O163" s="597">
        <v>0.8</v>
      </c>
      <c r="P163" s="588">
        <v>0.9</v>
      </c>
      <c r="Q163" s="588">
        <v>0.9</v>
      </c>
      <c r="R163" s="588">
        <v>0.9</v>
      </c>
      <c r="S163" s="597">
        <v>0.88</v>
      </c>
      <c r="T163" s="597">
        <v>0.77</v>
      </c>
      <c r="U163" s="597">
        <v>0.7</v>
      </c>
      <c r="V163" s="597">
        <v>0.72</v>
      </c>
      <c r="W163" s="597">
        <v>0.8</v>
      </c>
      <c r="X163" s="588">
        <v>0.9</v>
      </c>
      <c r="Y163" s="588">
        <v>0.9</v>
      </c>
      <c r="Z163" s="588">
        <v>0.9</v>
      </c>
      <c r="AA163" s="597">
        <v>0.8</v>
      </c>
      <c r="AB163" s="597">
        <v>0.62</v>
      </c>
      <c r="AC163" s="589">
        <v>0.3</v>
      </c>
      <c r="AD163" s="41"/>
      <c r="AE163" s="41"/>
      <c r="AF163" s="41"/>
      <c r="AG163" s="41"/>
      <c r="AH163" s="41"/>
      <c r="AI163" s="41"/>
      <c r="AJ163" s="41"/>
      <c r="AK163" s="41"/>
    </row>
    <row r="164" spans="1:37" ht="30.6" customHeight="1">
      <c r="A164" s="1010"/>
      <c r="B164" s="1103"/>
      <c r="C164" s="1113"/>
      <c r="D164" s="1118"/>
      <c r="E164" s="598" t="s">
        <v>524</v>
      </c>
      <c r="F164" s="599">
        <v>0.15</v>
      </c>
      <c r="G164" s="90">
        <v>0.15</v>
      </c>
      <c r="H164" s="90">
        <v>0.15</v>
      </c>
      <c r="I164" s="90">
        <v>0.15</v>
      </c>
      <c r="J164" s="90">
        <v>0.15</v>
      </c>
      <c r="K164" s="599">
        <v>0.2</v>
      </c>
      <c r="L164" s="90">
        <v>0.3</v>
      </c>
      <c r="M164" s="599">
        <v>0.72</v>
      </c>
      <c r="N164" s="599">
        <v>0.78</v>
      </c>
      <c r="O164" s="599">
        <v>0.8</v>
      </c>
      <c r="P164" s="599">
        <v>0.9</v>
      </c>
      <c r="Q164" s="599">
        <v>0.9</v>
      </c>
      <c r="R164" s="599">
        <v>0.9</v>
      </c>
      <c r="S164" s="599">
        <v>0.88</v>
      </c>
      <c r="T164" s="599">
        <v>0.77</v>
      </c>
      <c r="U164" s="599">
        <v>0.7</v>
      </c>
      <c r="V164" s="599">
        <v>0.72</v>
      </c>
      <c r="W164" s="599">
        <v>0.8</v>
      </c>
      <c r="X164" s="90">
        <v>0.9</v>
      </c>
      <c r="Y164" s="90">
        <v>0.9</v>
      </c>
      <c r="Z164" s="90">
        <v>0.9</v>
      </c>
      <c r="AA164" s="599">
        <v>0.8</v>
      </c>
      <c r="AB164" s="599">
        <v>0.62</v>
      </c>
      <c r="AC164" s="590">
        <v>0.3</v>
      </c>
      <c r="AD164" s="41"/>
      <c r="AE164" s="41"/>
      <c r="AF164" s="41"/>
      <c r="AG164" s="41"/>
      <c r="AH164" s="41"/>
      <c r="AI164" s="41"/>
      <c r="AJ164" s="41"/>
      <c r="AK164" s="41"/>
    </row>
    <row r="165" spans="1:37" ht="30.6" customHeight="1" thickBot="1">
      <c r="A165" s="1011"/>
      <c r="B165" s="1104"/>
      <c r="C165" s="1117"/>
      <c r="D165" s="1119"/>
      <c r="E165" s="600" t="s">
        <v>526</v>
      </c>
      <c r="F165" s="601">
        <v>0.2</v>
      </c>
      <c r="G165" s="591">
        <v>0.15</v>
      </c>
      <c r="H165" s="591">
        <v>0.15</v>
      </c>
      <c r="I165" s="591">
        <v>0.15</v>
      </c>
      <c r="J165" s="591">
        <v>0.15</v>
      </c>
      <c r="K165" s="601">
        <v>0.15</v>
      </c>
      <c r="L165" s="591">
        <v>0.3</v>
      </c>
      <c r="M165" s="601">
        <v>0.72</v>
      </c>
      <c r="N165" s="601">
        <v>0.78</v>
      </c>
      <c r="O165" s="601">
        <v>0.8</v>
      </c>
      <c r="P165" s="601">
        <v>0.9</v>
      </c>
      <c r="Q165" s="601">
        <v>0.9</v>
      </c>
      <c r="R165" s="601">
        <v>0.9</v>
      </c>
      <c r="S165" s="601">
        <v>0.88</v>
      </c>
      <c r="T165" s="601">
        <v>0.77</v>
      </c>
      <c r="U165" s="601">
        <v>0.7</v>
      </c>
      <c r="V165" s="601">
        <v>0.72</v>
      </c>
      <c r="W165" s="601">
        <v>0.8</v>
      </c>
      <c r="X165" s="601">
        <v>0.9</v>
      </c>
      <c r="Y165" s="601">
        <v>0.9</v>
      </c>
      <c r="Z165" s="601">
        <v>0.9</v>
      </c>
      <c r="AA165" s="601">
        <v>0.8</v>
      </c>
      <c r="AB165" s="601">
        <v>0.62</v>
      </c>
      <c r="AC165" s="592">
        <v>0.3</v>
      </c>
      <c r="AD165" s="41"/>
      <c r="AE165" s="41"/>
      <c r="AF165" s="41"/>
      <c r="AG165" s="41"/>
      <c r="AH165" s="41"/>
      <c r="AI165" s="41"/>
      <c r="AJ165" s="41"/>
      <c r="AK165" s="41"/>
    </row>
    <row r="166" spans="1:37" ht="30.6" customHeight="1">
      <c r="A166" s="1009" t="s">
        <v>122</v>
      </c>
      <c r="B166" s="1102" t="s">
        <v>122</v>
      </c>
      <c r="C166" s="1120" t="s">
        <v>711</v>
      </c>
      <c r="D166" s="1121" t="s">
        <v>732</v>
      </c>
      <c r="E166" s="596" t="s">
        <v>517</v>
      </c>
      <c r="F166" s="588">
        <v>1</v>
      </c>
      <c r="G166" s="602">
        <v>0</v>
      </c>
      <c r="H166" s="602">
        <v>0</v>
      </c>
      <c r="I166" s="588">
        <v>0</v>
      </c>
      <c r="J166" s="602">
        <v>1</v>
      </c>
      <c r="K166" s="602">
        <v>1</v>
      </c>
      <c r="L166" s="588">
        <v>1</v>
      </c>
      <c r="M166" s="588">
        <v>1</v>
      </c>
      <c r="N166" s="588">
        <v>1</v>
      </c>
      <c r="O166" s="588">
        <v>1</v>
      </c>
      <c r="P166" s="588">
        <v>1</v>
      </c>
      <c r="Q166" s="588">
        <v>1</v>
      </c>
      <c r="R166" s="588">
        <v>1</v>
      </c>
      <c r="S166" s="588">
        <v>1</v>
      </c>
      <c r="T166" s="588">
        <v>1</v>
      </c>
      <c r="U166" s="588">
        <v>1</v>
      </c>
      <c r="V166" s="588">
        <v>1</v>
      </c>
      <c r="W166" s="588">
        <v>1</v>
      </c>
      <c r="X166" s="588">
        <v>1</v>
      </c>
      <c r="Y166" s="588">
        <v>1</v>
      </c>
      <c r="Z166" s="588">
        <v>1</v>
      </c>
      <c r="AA166" s="588">
        <v>1</v>
      </c>
      <c r="AB166" s="588">
        <v>1</v>
      </c>
      <c r="AC166" s="589">
        <v>1</v>
      </c>
      <c r="AD166" s="41"/>
      <c r="AE166" s="41"/>
      <c r="AF166" s="41"/>
      <c r="AG166" s="41"/>
      <c r="AH166" s="41"/>
      <c r="AI166" s="41"/>
      <c r="AJ166" s="41"/>
      <c r="AK166" s="41"/>
    </row>
    <row r="167" spans="1:37" ht="30.6" customHeight="1">
      <c r="A167" s="1010"/>
      <c r="B167" s="1103"/>
      <c r="C167" s="1106"/>
      <c r="D167" s="1122"/>
      <c r="E167" s="598" t="s">
        <v>524</v>
      </c>
      <c r="F167" s="90">
        <v>1</v>
      </c>
      <c r="G167" s="593">
        <v>0</v>
      </c>
      <c r="H167" s="593">
        <v>0</v>
      </c>
      <c r="I167" s="90">
        <v>0</v>
      </c>
      <c r="J167" s="90">
        <v>0</v>
      </c>
      <c r="K167" s="594">
        <v>1</v>
      </c>
      <c r="L167" s="594">
        <v>1</v>
      </c>
      <c r="M167" s="594">
        <v>1</v>
      </c>
      <c r="N167" s="90">
        <v>1</v>
      </c>
      <c r="O167" s="90">
        <v>1</v>
      </c>
      <c r="P167" s="90">
        <v>1</v>
      </c>
      <c r="Q167" s="90">
        <v>1</v>
      </c>
      <c r="R167" s="90">
        <v>1</v>
      </c>
      <c r="S167" s="90">
        <v>1</v>
      </c>
      <c r="T167" s="90">
        <v>1</v>
      </c>
      <c r="U167" s="90">
        <v>1</v>
      </c>
      <c r="V167" s="90">
        <v>1</v>
      </c>
      <c r="W167" s="90">
        <v>1</v>
      </c>
      <c r="X167" s="90">
        <v>1</v>
      </c>
      <c r="Y167" s="90">
        <v>1</v>
      </c>
      <c r="Z167" s="90">
        <v>1</v>
      </c>
      <c r="AA167" s="90">
        <v>1</v>
      </c>
      <c r="AB167" s="90">
        <v>1</v>
      </c>
      <c r="AC167" s="590">
        <v>1</v>
      </c>
      <c r="AD167" s="41"/>
      <c r="AE167" s="41"/>
      <c r="AF167" s="41"/>
      <c r="AG167" s="41"/>
      <c r="AH167" s="41"/>
      <c r="AI167" s="41"/>
      <c r="AJ167" s="41"/>
      <c r="AK167" s="41"/>
    </row>
    <row r="168" spans="1:37" ht="30.6" customHeight="1" thickBot="1">
      <c r="A168" s="1011"/>
      <c r="B168" s="1104"/>
      <c r="C168" s="1107"/>
      <c r="D168" s="1123"/>
      <c r="E168" s="600" t="s">
        <v>526</v>
      </c>
      <c r="F168" s="591">
        <v>1</v>
      </c>
      <c r="G168" s="603">
        <v>0</v>
      </c>
      <c r="H168" s="603">
        <v>0</v>
      </c>
      <c r="I168" s="591">
        <v>0</v>
      </c>
      <c r="J168" s="591">
        <v>0</v>
      </c>
      <c r="K168" s="604">
        <v>1</v>
      </c>
      <c r="L168" s="604">
        <v>1</v>
      </c>
      <c r="M168" s="604">
        <v>1</v>
      </c>
      <c r="N168" s="604">
        <v>1</v>
      </c>
      <c r="O168" s="591">
        <v>1</v>
      </c>
      <c r="P168" s="591">
        <v>1</v>
      </c>
      <c r="Q168" s="591">
        <v>1</v>
      </c>
      <c r="R168" s="591">
        <v>1</v>
      </c>
      <c r="S168" s="591">
        <v>1</v>
      </c>
      <c r="T168" s="591">
        <v>1</v>
      </c>
      <c r="U168" s="591">
        <v>1</v>
      </c>
      <c r="V168" s="591">
        <v>1</v>
      </c>
      <c r="W168" s="591">
        <v>1</v>
      </c>
      <c r="X168" s="591">
        <v>1</v>
      </c>
      <c r="Y168" s="591">
        <v>1</v>
      </c>
      <c r="Z168" s="591">
        <v>1</v>
      </c>
      <c r="AA168" s="591">
        <v>1</v>
      </c>
      <c r="AB168" s="591">
        <v>1</v>
      </c>
      <c r="AC168" s="592">
        <v>1</v>
      </c>
      <c r="AD168" s="41"/>
      <c r="AE168" s="41"/>
      <c r="AF168" s="41"/>
      <c r="AG168" s="41"/>
      <c r="AH168" s="41"/>
      <c r="AI168" s="41"/>
      <c r="AJ168" s="41"/>
      <c r="AK168" s="41"/>
    </row>
    <row r="169" spans="1:37" ht="30.6" customHeight="1">
      <c r="A169" s="1009" t="s">
        <v>122</v>
      </c>
      <c r="B169" s="1102" t="s">
        <v>122</v>
      </c>
      <c r="C169" s="1105" t="s">
        <v>713</v>
      </c>
      <c r="D169" s="1108" t="s">
        <v>733</v>
      </c>
      <c r="E169" s="104" t="s">
        <v>517</v>
      </c>
      <c r="F169" s="92">
        <v>0.2</v>
      </c>
      <c r="G169" s="593">
        <v>0</v>
      </c>
      <c r="H169" s="593">
        <v>0</v>
      </c>
      <c r="I169" s="92">
        <v>0</v>
      </c>
      <c r="J169" s="92">
        <v>0</v>
      </c>
      <c r="K169" s="593">
        <v>0.6</v>
      </c>
      <c r="L169" s="593">
        <v>0.6</v>
      </c>
      <c r="M169" s="92">
        <v>0.6</v>
      </c>
      <c r="N169" s="92">
        <v>0.55000000000000004</v>
      </c>
      <c r="O169" s="92">
        <v>0.45</v>
      </c>
      <c r="P169" s="92">
        <v>0.4</v>
      </c>
      <c r="Q169" s="92">
        <v>0.45</v>
      </c>
      <c r="R169" s="92">
        <v>0.4</v>
      </c>
      <c r="S169" s="92">
        <v>0.35</v>
      </c>
      <c r="T169" s="92">
        <v>0.3</v>
      </c>
      <c r="U169" s="92">
        <v>0.3</v>
      </c>
      <c r="V169" s="92">
        <v>0.3</v>
      </c>
      <c r="W169" s="92">
        <v>0.4</v>
      </c>
      <c r="X169" s="92">
        <v>0.55000000000000004</v>
      </c>
      <c r="Y169" s="92">
        <v>0.6</v>
      </c>
      <c r="Z169" s="92">
        <v>0.5</v>
      </c>
      <c r="AA169" s="92">
        <v>0.55000000000000004</v>
      </c>
      <c r="AB169" s="92">
        <v>0.45</v>
      </c>
      <c r="AC169" s="97">
        <v>0.25</v>
      </c>
      <c r="AD169" s="41"/>
      <c r="AE169" s="41"/>
      <c r="AF169" s="41"/>
      <c r="AG169" s="41"/>
      <c r="AH169" s="41"/>
      <c r="AI169" s="41"/>
      <c r="AJ169" s="41"/>
      <c r="AK169" s="41"/>
    </row>
    <row r="170" spans="1:37" ht="30.6" customHeight="1">
      <c r="A170" s="1010"/>
      <c r="B170" s="1103"/>
      <c r="C170" s="1106"/>
      <c r="D170" s="1109"/>
      <c r="E170" s="101" t="s">
        <v>524</v>
      </c>
      <c r="F170" s="90">
        <v>0.2</v>
      </c>
      <c r="G170" s="594">
        <v>0</v>
      </c>
      <c r="H170" s="594">
        <v>0</v>
      </c>
      <c r="I170" s="90">
        <v>0</v>
      </c>
      <c r="J170" s="90">
        <v>0</v>
      </c>
      <c r="K170" s="90">
        <v>0</v>
      </c>
      <c r="L170" s="594">
        <v>0.5</v>
      </c>
      <c r="M170" s="594">
        <v>0.5</v>
      </c>
      <c r="N170" s="594">
        <v>0.5</v>
      </c>
      <c r="O170" s="90">
        <v>0.5</v>
      </c>
      <c r="P170" s="90">
        <v>0.45</v>
      </c>
      <c r="Q170" s="90">
        <v>0.5</v>
      </c>
      <c r="R170" s="90">
        <v>0.5</v>
      </c>
      <c r="S170" s="90">
        <v>0.45</v>
      </c>
      <c r="T170" s="90">
        <v>0.4</v>
      </c>
      <c r="U170" s="90">
        <v>0.4</v>
      </c>
      <c r="V170" s="90">
        <v>0.35</v>
      </c>
      <c r="W170" s="90">
        <v>0.4</v>
      </c>
      <c r="X170" s="90">
        <v>0.55000000000000004</v>
      </c>
      <c r="Y170" s="90">
        <v>0.55000000000000004</v>
      </c>
      <c r="Z170" s="90">
        <v>0.5</v>
      </c>
      <c r="AA170" s="90">
        <v>0.55000000000000004</v>
      </c>
      <c r="AB170" s="90">
        <v>0.4</v>
      </c>
      <c r="AC170" s="95">
        <v>0.3</v>
      </c>
      <c r="AD170" s="41"/>
      <c r="AE170" s="41"/>
      <c r="AF170" s="41"/>
      <c r="AG170" s="41"/>
      <c r="AH170" s="41"/>
      <c r="AI170" s="41"/>
      <c r="AJ170" s="41"/>
      <c r="AK170" s="41"/>
    </row>
    <row r="171" spans="1:37" ht="30.6" customHeight="1" thickBot="1">
      <c r="A171" s="1011"/>
      <c r="B171" s="1104"/>
      <c r="C171" s="1111"/>
      <c r="D171" s="1110"/>
      <c r="E171" s="102" t="s">
        <v>526</v>
      </c>
      <c r="F171" s="91">
        <v>0.25</v>
      </c>
      <c r="G171" s="595">
        <v>0</v>
      </c>
      <c r="H171" s="595">
        <v>0</v>
      </c>
      <c r="I171" s="91">
        <v>0</v>
      </c>
      <c r="J171" s="91">
        <v>0</v>
      </c>
      <c r="K171" s="91">
        <v>0</v>
      </c>
      <c r="L171" s="595">
        <v>0.5</v>
      </c>
      <c r="M171" s="595">
        <v>0.5</v>
      </c>
      <c r="N171" s="595">
        <v>0.5</v>
      </c>
      <c r="O171" s="595">
        <v>0.5</v>
      </c>
      <c r="P171" s="91">
        <v>0.5</v>
      </c>
      <c r="Q171" s="91">
        <v>0.5</v>
      </c>
      <c r="R171" s="91">
        <v>0.4</v>
      </c>
      <c r="S171" s="91">
        <v>0.4</v>
      </c>
      <c r="T171" s="91">
        <v>0.3</v>
      </c>
      <c r="U171" s="91">
        <v>0.3</v>
      </c>
      <c r="V171" s="91">
        <v>0.3</v>
      </c>
      <c r="W171" s="91">
        <v>0.4</v>
      </c>
      <c r="X171" s="91">
        <v>0.5</v>
      </c>
      <c r="Y171" s="91">
        <v>0.5</v>
      </c>
      <c r="Z171" s="91">
        <v>0.4</v>
      </c>
      <c r="AA171" s="91">
        <v>0.5</v>
      </c>
      <c r="AB171" s="91">
        <v>0.4</v>
      </c>
      <c r="AC171" s="96">
        <v>0.2</v>
      </c>
      <c r="AD171" s="41"/>
      <c r="AE171" s="41"/>
      <c r="AF171" s="41"/>
      <c r="AG171" s="41"/>
      <c r="AH171" s="41"/>
      <c r="AI171" s="41"/>
      <c r="AJ171" s="41"/>
      <c r="AK171" s="41"/>
    </row>
    <row r="172" spans="1:37" ht="30.6" customHeight="1">
      <c r="A172" s="1009" t="s">
        <v>122</v>
      </c>
      <c r="B172" s="1102" t="s">
        <v>122</v>
      </c>
      <c r="C172" s="1105" t="s">
        <v>308</v>
      </c>
      <c r="D172" s="1108" t="s">
        <v>734</v>
      </c>
      <c r="E172" s="629" t="s">
        <v>517</v>
      </c>
      <c r="F172" s="602">
        <v>0.25</v>
      </c>
      <c r="G172" s="602">
        <v>0</v>
      </c>
      <c r="H172" s="602">
        <v>0</v>
      </c>
      <c r="I172" s="588">
        <v>1</v>
      </c>
      <c r="J172" s="602">
        <v>0.25</v>
      </c>
      <c r="K172" s="605">
        <v>0.25</v>
      </c>
      <c r="L172" s="606">
        <v>0.25</v>
      </c>
      <c r="M172" s="606">
        <v>0.25</v>
      </c>
      <c r="N172" s="606">
        <v>0.25</v>
      </c>
      <c r="O172" s="588">
        <v>0.25</v>
      </c>
      <c r="P172" s="588">
        <v>0.25</v>
      </c>
      <c r="Q172" s="588">
        <v>0.25</v>
      </c>
      <c r="R172" s="588">
        <v>0.25</v>
      </c>
      <c r="S172" s="588">
        <v>0.25</v>
      </c>
      <c r="T172" s="588">
        <v>0.25</v>
      </c>
      <c r="U172" s="588">
        <v>0.25</v>
      </c>
      <c r="V172" s="602">
        <v>0.25</v>
      </c>
      <c r="W172" s="588">
        <v>0.25</v>
      </c>
      <c r="X172" s="588">
        <v>0.25</v>
      </c>
      <c r="Y172" s="588">
        <v>0.25</v>
      </c>
      <c r="Z172" s="588">
        <v>0.25</v>
      </c>
      <c r="AA172" s="588">
        <v>0.25</v>
      </c>
      <c r="AB172" s="588">
        <v>0.25</v>
      </c>
      <c r="AC172" s="589">
        <v>0.25</v>
      </c>
      <c r="AD172" s="41"/>
      <c r="AE172" s="41"/>
      <c r="AF172" s="41"/>
      <c r="AG172" s="41"/>
      <c r="AH172" s="41"/>
      <c r="AI172" s="41"/>
      <c r="AJ172" s="41"/>
      <c r="AK172" s="41"/>
    </row>
    <row r="173" spans="1:37" ht="30.6" customHeight="1">
      <c r="A173" s="1010"/>
      <c r="B173" s="1103"/>
      <c r="C173" s="1106"/>
      <c r="D173" s="1109"/>
      <c r="E173" s="101" t="s">
        <v>524</v>
      </c>
      <c r="F173" s="594">
        <v>0.25</v>
      </c>
      <c r="G173" s="594">
        <v>0</v>
      </c>
      <c r="H173" s="90">
        <v>0</v>
      </c>
      <c r="I173" s="90">
        <v>1</v>
      </c>
      <c r="J173" s="90">
        <v>1</v>
      </c>
      <c r="K173" s="594">
        <v>0.25</v>
      </c>
      <c r="L173" s="594">
        <v>0.25</v>
      </c>
      <c r="M173" s="594">
        <v>0.25</v>
      </c>
      <c r="N173" s="90">
        <v>0.25</v>
      </c>
      <c r="O173" s="90">
        <v>0.25</v>
      </c>
      <c r="P173" s="90">
        <v>0.25</v>
      </c>
      <c r="Q173" s="90">
        <v>0.25</v>
      </c>
      <c r="R173" s="90">
        <v>0.25</v>
      </c>
      <c r="S173" s="90">
        <v>0.25</v>
      </c>
      <c r="T173" s="90">
        <v>0.25</v>
      </c>
      <c r="U173" s="90">
        <v>0.25</v>
      </c>
      <c r="V173" s="90">
        <v>0.25</v>
      </c>
      <c r="W173" s="90">
        <v>0.25</v>
      </c>
      <c r="X173" s="90">
        <v>0.25</v>
      </c>
      <c r="Y173" s="90">
        <v>0.25</v>
      </c>
      <c r="Z173" s="90">
        <v>0.25</v>
      </c>
      <c r="AA173" s="90">
        <v>0.25</v>
      </c>
      <c r="AB173" s="90">
        <v>0.25</v>
      </c>
      <c r="AC173" s="590">
        <v>0.25</v>
      </c>
      <c r="AD173" s="41"/>
      <c r="AE173" s="41"/>
      <c r="AF173" s="41"/>
      <c r="AG173" s="41"/>
      <c r="AH173" s="41"/>
      <c r="AI173" s="41"/>
      <c r="AJ173" s="41"/>
      <c r="AK173" s="41"/>
    </row>
    <row r="174" spans="1:37" ht="30.6" customHeight="1" thickBot="1">
      <c r="A174" s="1011"/>
      <c r="B174" s="1104"/>
      <c r="C174" s="1107"/>
      <c r="D174" s="1110"/>
      <c r="E174" s="630" t="s">
        <v>526</v>
      </c>
      <c r="F174" s="604">
        <v>0.25</v>
      </c>
      <c r="G174" s="604">
        <v>0</v>
      </c>
      <c r="H174" s="604">
        <v>0</v>
      </c>
      <c r="I174" s="591">
        <v>1</v>
      </c>
      <c r="J174" s="591">
        <v>1</v>
      </c>
      <c r="K174" s="603">
        <v>0.25</v>
      </c>
      <c r="L174" s="603">
        <v>0.25</v>
      </c>
      <c r="M174" s="603">
        <v>0.25</v>
      </c>
      <c r="N174" s="603">
        <v>0.25</v>
      </c>
      <c r="O174" s="591">
        <v>0.25</v>
      </c>
      <c r="P174" s="591">
        <v>0.25</v>
      </c>
      <c r="Q174" s="591">
        <v>0.25</v>
      </c>
      <c r="R174" s="591">
        <v>0.25</v>
      </c>
      <c r="S174" s="591">
        <v>0.25</v>
      </c>
      <c r="T174" s="591">
        <v>0.25</v>
      </c>
      <c r="U174" s="591">
        <v>0.25</v>
      </c>
      <c r="V174" s="591">
        <v>0.25</v>
      </c>
      <c r="W174" s="591">
        <v>0.25</v>
      </c>
      <c r="X174" s="591">
        <v>0.25</v>
      </c>
      <c r="Y174" s="591">
        <v>0.25</v>
      </c>
      <c r="Z174" s="591">
        <v>0.25</v>
      </c>
      <c r="AA174" s="591">
        <v>0.25</v>
      </c>
      <c r="AB174" s="591">
        <v>0.25</v>
      </c>
      <c r="AC174" s="592">
        <v>0.25</v>
      </c>
      <c r="AD174" s="41"/>
      <c r="AE174" s="41"/>
      <c r="AF174" s="41"/>
      <c r="AG174" s="41"/>
      <c r="AH174" s="41"/>
      <c r="AI174" s="41"/>
      <c r="AJ174" s="41"/>
      <c r="AK174" s="41"/>
    </row>
    <row r="175" spans="1:37" ht="30.6" customHeight="1">
      <c r="A175" s="1009" t="s">
        <v>122</v>
      </c>
      <c r="B175" s="1102" t="s">
        <v>122</v>
      </c>
      <c r="C175" s="1012" t="s">
        <v>737</v>
      </c>
      <c r="D175" s="1108" t="s">
        <v>733</v>
      </c>
      <c r="E175" s="105" t="s">
        <v>517</v>
      </c>
      <c r="F175" s="80">
        <v>0</v>
      </c>
      <c r="G175" s="80">
        <v>0</v>
      </c>
      <c r="H175" s="80">
        <v>0</v>
      </c>
      <c r="I175" s="80">
        <v>0</v>
      </c>
      <c r="J175" s="80">
        <v>0</v>
      </c>
      <c r="K175" s="607">
        <v>1</v>
      </c>
      <c r="L175" s="80">
        <v>1</v>
      </c>
      <c r="M175" s="80">
        <v>1</v>
      </c>
      <c r="N175" s="80">
        <v>1</v>
      </c>
      <c r="O175" s="80">
        <v>1</v>
      </c>
      <c r="P175" s="80">
        <v>1</v>
      </c>
      <c r="Q175" s="80">
        <v>1</v>
      </c>
      <c r="R175" s="80">
        <v>1</v>
      </c>
      <c r="S175" s="80">
        <v>1</v>
      </c>
      <c r="T175" s="80">
        <v>1</v>
      </c>
      <c r="U175" s="80">
        <v>1</v>
      </c>
      <c r="V175" s="80">
        <v>1</v>
      </c>
      <c r="W175" s="80">
        <v>1</v>
      </c>
      <c r="X175" s="80">
        <v>1</v>
      </c>
      <c r="Y175" s="80">
        <v>0</v>
      </c>
      <c r="Z175" s="80">
        <v>0</v>
      </c>
      <c r="AA175" s="80">
        <v>0</v>
      </c>
      <c r="AB175" s="80">
        <v>0</v>
      </c>
      <c r="AC175" s="83">
        <v>0</v>
      </c>
      <c r="AD175" s="41"/>
      <c r="AE175" s="41"/>
      <c r="AF175" s="41"/>
      <c r="AG175" s="41"/>
      <c r="AH175" s="41"/>
      <c r="AI175" s="41"/>
      <c r="AJ175" s="41"/>
      <c r="AK175" s="41"/>
    </row>
    <row r="176" spans="1:37" ht="30.6" customHeight="1">
      <c r="A176" s="1010"/>
      <c r="B176" s="1103"/>
      <c r="C176" s="1013"/>
      <c r="D176" s="1109"/>
      <c r="E176" s="106" t="s">
        <v>524</v>
      </c>
      <c r="F176" s="81">
        <v>0</v>
      </c>
      <c r="G176" s="81">
        <v>0</v>
      </c>
      <c r="H176" s="81">
        <v>0</v>
      </c>
      <c r="I176" s="81">
        <v>0</v>
      </c>
      <c r="J176" s="81">
        <v>0</v>
      </c>
      <c r="K176" s="81">
        <v>0</v>
      </c>
      <c r="L176" s="608">
        <v>1</v>
      </c>
      <c r="M176" s="608">
        <v>1</v>
      </c>
      <c r="N176" s="81">
        <v>1</v>
      </c>
      <c r="O176" s="81">
        <v>1</v>
      </c>
      <c r="P176" s="81">
        <v>1</v>
      </c>
      <c r="Q176" s="81">
        <v>1</v>
      </c>
      <c r="R176" s="81">
        <v>1</v>
      </c>
      <c r="S176" s="81">
        <v>1</v>
      </c>
      <c r="T176" s="81">
        <v>1</v>
      </c>
      <c r="U176" s="81">
        <v>1</v>
      </c>
      <c r="V176" s="81">
        <v>1</v>
      </c>
      <c r="W176" s="81">
        <v>1</v>
      </c>
      <c r="X176" s="81">
        <v>1</v>
      </c>
      <c r="Y176" s="81">
        <v>0</v>
      </c>
      <c r="Z176" s="81">
        <v>0</v>
      </c>
      <c r="AA176" s="81">
        <v>0</v>
      </c>
      <c r="AB176" s="81">
        <v>0</v>
      </c>
      <c r="AC176" s="84">
        <v>0</v>
      </c>
      <c r="AD176" s="41"/>
      <c r="AE176" s="41"/>
      <c r="AF176" s="41"/>
      <c r="AG176" s="41"/>
      <c r="AH176" s="41"/>
      <c r="AI176" s="41"/>
      <c r="AJ176" s="41"/>
      <c r="AK176" s="41"/>
    </row>
    <row r="177" spans="1:37" ht="30.6" customHeight="1" thickBot="1">
      <c r="A177" s="1011"/>
      <c r="B177" s="1104"/>
      <c r="C177" s="1021"/>
      <c r="D177" s="1110"/>
      <c r="E177" s="609" t="s">
        <v>526</v>
      </c>
      <c r="F177" s="108">
        <v>0</v>
      </c>
      <c r="G177" s="108">
        <v>0</v>
      </c>
      <c r="H177" s="108">
        <v>0</v>
      </c>
      <c r="I177" s="108">
        <v>0</v>
      </c>
      <c r="J177" s="108">
        <v>0</v>
      </c>
      <c r="K177" s="108">
        <v>0</v>
      </c>
      <c r="L177" s="610">
        <v>1</v>
      </c>
      <c r="M177" s="610">
        <v>1</v>
      </c>
      <c r="N177" s="610">
        <v>1</v>
      </c>
      <c r="O177" s="108">
        <v>1</v>
      </c>
      <c r="P177" s="108">
        <v>1</v>
      </c>
      <c r="Q177" s="108">
        <v>1</v>
      </c>
      <c r="R177" s="108">
        <v>1</v>
      </c>
      <c r="S177" s="108">
        <v>1</v>
      </c>
      <c r="T177" s="108">
        <v>1</v>
      </c>
      <c r="U177" s="108">
        <v>1</v>
      </c>
      <c r="V177" s="108">
        <v>1</v>
      </c>
      <c r="W177" s="108">
        <v>1</v>
      </c>
      <c r="X177" s="108">
        <v>1</v>
      </c>
      <c r="Y177" s="108">
        <v>0</v>
      </c>
      <c r="Z177" s="108">
        <v>0</v>
      </c>
      <c r="AA177" s="108">
        <v>0</v>
      </c>
      <c r="AB177" s="108">
        <v>0</v>
      </c>
      <c r="AC177" s="611">
        <v>0</v>
      </c>
      <c r="AD177" s="41"/>
      <c r="AE177" s="41"/>
      <c r="AF177" s="41"/>
      <c r="AG177" s="41"/>
      <c r="AH177" s="41"/>
      <c r="AI177" s="41"/>
      <c r="AJ177" s="41"/>
      <c r="AK177" s="41"/>
    </row>
    <row r="178" spans="1:37" ht="30.6" customHeight="1">
      <c r="A178" s="1009" t="s">
        <v>122</v>
      </c>
      <c r="B178" s="1102" t="s">
        <v>122</v>
      </c>
      <c r="C178" s="1105" t="s">
        <v>738</v>
      </c>
      <c r="D178" s="1108" t="s">
        <v>739</v>
      </c>
      <c r="E178" s="100" t="s">
        <v>517</v>
      </c>
      <c r="F178" s="612">
        <v>0</v>
      </c>
      <c r="G178" s="612">
        <v>0</v>
      </c>
      <c r="H178" s="612">
        <v>0</v>
      </c>
      <c r="I178" s="612">
        <v>0</v>
      </c>
      <c r="J178" s="612">
        <v>0</v>
      </c>
      <c r="K178" s="613">
        <v>1</v>
      </c>
      <c r="L178" s="612">
        <v>0.5</v>
      </c>
      <c r="M178" s="612">
        <v>1</v>
      </c>
      <c r="N178" s="612">
        <v>0.5</v>
      </c>
      <c r="O178" s="612">
        <v>1</v>
      </c>
      <c r="P178" s="612">
        <v>0.5</v>
      </c>
      <c r="Q178" s="612">
        <v>1</v>
      </c>
      <c r="R178" s="612">
        <v>0.5</v>
      </c>
      <c r="S178" s="612">
        <v>1</v>
      </c>
      <c r="T178" s="612">
        <v>0.5</v>
      </c>
      <c r="U178" s="612">
        <v>1</v>
      </c>
      <c r="V178" s="612">
        <v>0.5</v>
      </c>
      <c r="W178" s="612">
        <v>1</v>
      </c>
      <c r="X178" s="612">
        <v>0.5</v>
      </c>
      <c r="Y178" s="612">
        <v>0</v>
      </c>
      <c r="Z178" s="612">
        <v>0</v>
      </c>
      <c r="AA178" s="612">
        <v>0</v>
      </c>
      <c r="AB178" s="612">
        <v>0</v>
      </c>
      <c r="AC178" s="614">
        <v>0</v>
      </c>
      <c r="AD178" s="41"/>
      <c r="AE178" s="41"/>
      <c r="AF178" s="41"/>
      <c r="AG178" s="41"/>
      <c r="AH178" s="41"/>
      <c r="AI178" s="41"/>
      <c r="AJ178" s="41"/>
      <c r="AK178" s="41"/>
    </row>
    <row r="179" spans="1:37" ht="30.6" customHeight="1">
      <c r="A179" s="1010"/>
      <c r="B179" s="1103"/>
      <c r="C179" s="1106"/>
      <c r="D179" s="1109"/>
      <c r="E179" s="101" t="s">
        <v>524</v>
      </c>
      <c r="F179" s="615">
        <v>0</v>
      </c>
      <c r="G179" s="615">
        <v>0</v>
      </c>
      <c r="H179" s="615">
        <v>0</v>
      </c>
      <c r="I179" s="615">
        <v>0</v>
      </c>
      <c r="J179" s="615">
        <v>0</v>
      </c>
      <c r="K179" s="615">
        <v>0</v>
      </c>
      <c r="L179" s="593">
        <v>0.5</v>
      </c>
      <c r="M179" s="594">
        <v>1</v>
      </c>
      <c r="N179" s="594">
        <v>0.5</v>
      </c>
      <c r="O179" s="615">
        <v>1</v>
      </c>
      <c r="P179" s="615">
        <v>0.5</v>
      </c>
      <c r="Q179" s="615">
        <v>1</v>
      </c>
      <c r="R179" s="615">
        <v>0.5</v>
      </c>
      <c r="S179" s="615">
        <v>1</v>
      </c>
      <c r="T179" s="615">
        <v>0.5</v>
      </c>
      <c r="U179" s="615">
        <v>1</v>
      </c>
      <c r="V179" s="615">
        <v>0.5</v>
      </c>
      <c r="W179" s="615">
        <v>1</v>
      </c>
      <c r="X179" s="615">
        <v>0.5</v>
      </c>
      <c r="Y179" s="615">
        <v>0</v>
      </c>
      <c r="Z179" s="615">
        <v>0</v>
      </c>
      <c r="AA179" s="615">
        <v>0</v>
      </c>
      <c r="AB179" s="615">
        <v>0</v>
      </c>
      <c r="AC179" s="616">
        <v>0</v>
      </c>
      <c r="AD179" s="41"/>
      <c r="AE179" s="41"/>
      <c r="AF179" s="41"/>
      <c r="AG179" s="41"/>
      <c r="AH179" s="41"/>
      <c r="AI179" s="41"/>
      <c r="AJ179" s="41"/>
      <c r="AK179" s="41"/>
    </row>
    <row r="180" spans="1:37" ht="30.6" customHeight="1" thickBot="1">
      <c r="A180" s="1011"/>
      <c r="B180" s="1104"/>
      <c r="C180" s="1107"/>
      <c r="D180" s="1110"/>
      <c r="E180" s="103" t="s">
        <v>526</v>
      </c>
      <c r="F180" s="617">
        <v>0</v>
      </c>
      <c r="G180" s="617">
        <v>0</v>
      </c>
      <c r="H180" s="617">
        <v>0</v>
      </c>
      <c r="I180" s="617">
        <v>0</v>
      </c>
      <c r="J180" s="617">
        <v>0</v>
      </c>
      <c r="K180" s="617">
        <v>0</v>
      </c>
      <c r="L180" s="618">
        <v>0.5</v>
      </c>
      <c r="M180" s="618">
        <v>1</v>
      </c>
      <c r="N180" s="618">
        <v>0.5</v>
      </c>
      <c r="O180" s="617">
        <v>1</v>
      </c>
      <c r="P180" s="617">
        <v>0.5</v>
      </c>
      <c r="Q180" s="617">
        <v>1</v>
      </c>
      <c r="R180" s="617">
        <v>0.5</v>
      </c>
      <c r="S180" s="617">
        <v>1</v>
      </c>
      <c r="T180" s="617">
        <v>0.5</v>
      </c>
      <c r="U180" s="617">
        <v>1</v>
      </c>
      <c r="V180" s="617">
        <v>0.5</v>
      </c>
      <c r="W180" s="617">
        <v>1</v>
      </c>
      <c r="X180" s="617">
        <v>0.5</v>
      </c>
      <c r="Y180" s="617">
        <v>0</v>
      </c>
      <c r="Z180" s="617">
        <v>0</v>
      </c>
      <c r="AA180" s="617">
        <v>0</v>
      </c>
      <c r="AB180" s="617">
        <v>0</v>
      </c>
      <c r="AC180" s="619">
        <v>0</v>
      </c>
      <c r="AD180" s="41"/>
      <c r="AE180" s="41"/>
      <c r="AF180" s="41"/>
      <c r="AG180" s="41"/>
      <c r="AH180" s="41"/>
      <c r="AI180" s="41"/>
      <c r="AJ180" s="41"/>
      <c r="AK180" s="41"/>
    </row>
    <row r="181" spans="1:37" ht="30.6" customHeight="1">
      <c r="A181" s="1009" t="s">
        <v>122</v>
      </c>
      <c r="B181" s="1102" t="s">
        <v>122</v>
      </c>
      <c r="C181" s="1012" t="s">
        <v>153</v>
      </c>
      <c r="D181" s="1108" t="s">
        <v>735</v>
      </c>
      <c r="E181" s="105" t="s">
        <v>517</v>
      </c>
      <c r="F181" s="80">
        <v>0.9</v>
      </c>
      <c r="G181" s="80">
        <v>0.9</v>
      </c>
      <c r="H181" s="80">
        <v>0.9</v>
      </c>
      <c r="I181" s="80">
        <v>0.9</v>
      </c>
      <c r="J181" s="80">
        <v>0.9</v>
      </c>
      <c r="K181" s="80">
        <v>0.9</v>
      </c>
      <c r="L181" s="80">
        <v>0.9</v>
      </c>
      <c r="M181" s="80">
        <v>0.9</v>
      </c>
      <c r="N181" s="80">
        <v>0.9</v>
      </c>
      <c r="O181" s="80">
        <v>0.9</v>
      </c>
      <c r="P181" s="80">
        <v>0.9</v>
      </c>
      <c r="Q181" s="80">
        <v>0.9</v>
      </c>
      <c r="R181" s="80">
        <v>0.9</v>
      </c>
      <c r="S181" s="80">
        <v>0.9</v>
      </c>
      <c r="T181" s="80">
        <v>0.9</v>
      </c>
      <c r="U181" s="80">
        <v>0.9</v>
      </c>
      <c r="V181" s="80">
        <v>0.9</v>
      </c>
      <c r="W181" s="80">
        <v>0.9</v>
      </c>
      <c r="X181" s="80">
        <v>0.9</v>
      </c>
      <c r="Y181" s="80">
        <v>0.9</v>
      </c>
      <c r="Z181" s="80">
        <v>0.9</v>
      </c>
      <c r="AA181" s="80">
        <v>0.9</v>
      </c>
      <c r="AB181" s="80">
        <v>0.9</v>
      </c>
      <c r="AC181" s="83">
        <v>0.9</v>
      </c>
      <c r="AD181" s="41"/>
      <c r="AE181" s="41"/>
      <c r="AF181" s="41"/>
      <c r="AG181" s="41"/>
      <c r="AH181" s="41"/>
      <c r="AI181" s="41"/>
      <c r="AJ181" s="41"/>
      <c r="AK181" s="41"/>
    </row>
    <row r="182" spans="1:37" ht="30.6" customHeight="1">
      <c r="A182" s="1010"/>
      <c r="B182" s="1103"/>
      <c r="C182" s="1013"/>
      <c r="D182" s="1109"/>
      <c r="E182" s="106" t="s">
        <v>524</v>
      </c>
      <c r="F182" s="81">
        <v>0.9</v>
      </c>
      <c r="G182" s="81">
        <v>0.9</v>
      </c>
      <c r="H182" s="81">
        <v>0.9</v>
      </c>
      <c r="I182" s="81">
        <v>0.9</v>
      </c>
      <c r="J182" s="81">
        <v>0.9</v>
      </c>
      <c r="K182" s="81">
        <v>0.9</v>
      </c>
      <c r="L182" s="81">
        <v>0.9</v>
      </c>
      <c r="M182" s="81">
        <v>0.9</v>
      </c>
      <c r="N182" s="81">
        <v>0.9</v>
      </c>
      <c r="O182" s="81">
        <v>0.9</v>
      </c>
      <c r="P182" s="81">
        <v>0.9</v>
      </c>
      <c r="Q182" s="81">
        <v>0.9</v>
      </c>
      <c r="R182" s="81">
        <v>0.9</v>
      </c>
      <c r="S182" s="81">
        <v>0.9</v>
      </c>
      <c r="T182" s="81">
        <v>0.9</v>
      </c>
      <c r="U182" s="81">
        <v>0.9</v>
      </c>
      <c r="V182" s="81">
        <v>0.9</v>
      </c>
      <c r="W182" s="81">
        <v>0.9</v>
      </c>
      <c r="X182" s="81">
        <v>0.9</v>
      </c>
      <c r="Y182" s="81">
        <v>0.9</v>
      </c>
      <c r="Z182" s="81">
        <v>0.9</v>
      </c>
      <c r="AA182" s="81">
        <v>0.9</v>
      </c>
      <c r="AB182" s="81">
        <v>0.9</v>
      </c>
      <c r="AC182" s="84">
        <v>0.9</v>
      </c>
      <c r="AD182" s="41"/>
      <c r="AE182" s="41"/>
      <c r="AF182" s="41"/>
      <c r="AG182" s="41"/>
      <c r="AH182" s="41"/>
      <c r="AI182" s="41"/>
      <c r="AJ182" s="41"/>
      <c r="AK182" s="41"/>
    </row>
    <row r="183" spans="1:37" ht="30.6" customHeight="1" thickBot="1">
      <c r="A183" s="1011"/>
      <c r="B183" s="1104"/>
      <c r="C183" s="1014"/>
      <c r="D183" s="1110"/>
      <c r="E183" s="107" t="s">
        <v>526</v>
      </c>
      <c r="F183" s="82">
        <v>0.9</v>
      </c>
      <c r="G183" s="82">
        <v>0.9</v>
      </c>
      <c r="H183" s="82">
        <v>0.9</v>
      </c>
      <c r="I183" s="82">
        <v>0.9</v>
      </c>
      <c r="J183" s="82">
        <v>0.9</v>
      </c>
      <c r="K183" s="82">
        <v>0.9</v>
      </c>
      <c r="L183" s="82">
        <v>0.9</v>
      </c>
      <c r="M183" s="82">
        <v>0.9</v>
      </c>
      <c r="N183" s="82">
        <v>0.9</v>
      </c>
      <c r="O183" s="82">
        <v>0.9</v>
      </c>
      <c r="P183" s="82">
        <v>0.9</v>
      </c>
      <c r="Q183" s="82">
        <v>0.9</v>
      </c>
      <c r="R183" s="82">
        <v>0.9</v>
      </c>
      <c r="S183" s="82">
        <v>0.9</v>
      </c>
      <c r="T183" s="82">
        <v>0.9</v>
      </c>
      <c r="U183" s="82">
        <v>0.9</v>
      </c>
      <c r="V183" s="82">
        <v>0.9</v>
      </c>
      <c r="W183" s="82">
        <v>0.9</v>
      </c>
      <c r="X183" s="82">
        <v>0.9</v>
      </c>
      <c r="Y183" s="82">
        <v>0.9</v>
      </c>
      <c r="Z183" s="82">
        <v>0.9</v>
      </c>
      <c r="AA183" s="82">
        <v>0.9</v>
      </c>
      <c r="AB183" s="82">
        <v>0.9</v>
      </c>
      <c r="AC183" s="85">
        <v>0.9</v>
      </c>
      <c r="AD183" s="41"/>
      <c r="AE183" s="41"/>
      <c r="AF183" s="41"/>
      <c r="AG183" s="41"/>
      <c r="AH183" s="41"/>
      <c r="AI183" s="41"/>
      <c r="AJ183" s="41"/>
      <c r="AK183" s="41"/>
    </row>
    <row r="184" spans="1:37" ht="30.6" customHeight="1">
      <c r="A184" s="1009" t="s">
        <v>122</v>
      </c>
      <c r="B184" s="1102" t="s">
        <v>122</v>
      </c>
      <c r="C184" s="1020" t="s">
        <v>720</v>
      </c>
      <c r="D184" s="1108" t="s">
        <v>740</v>
      </c>
      <c r="E184" s="620" t="s">
        <v>517</v>
      </c>
      <c r="F184" s="621">
        <v>0.5</v>
      </c>
      <c r="G184" s="621">
        <v>0</v>
      </c>
      <c r="H184" s="621">
        <v>0</v>
      </c>
      <c r="I184" s="621">
        <v>0</v>
      </c>
      <c r="J184" s="621">
        <v>0</v>
      </c>
      <c r="K184" s="621">
        <v>0</v>
      </c>
      <c r="L184" s="622">
        <v>0.5</v>
      </c>
      <c r="M184" s="622">
        <v>0.9</v>
      </c>
      <c r="N184" s="622">
        <v>0.9</v>
      </c>
      <c r="O184" s="622">
        <v>0.9</v>
      </c>
      <c r="P184" s="621">
        <v>0.9</v>
      </c>
      <c r="Q184" s="621">
        <v>0.9</v>
      </c>
      <c r="R184" s="621">
        <v>0.9</v>
      </c>
      <c r="S184" s="621">
        <v>0.9</v>
      </c>
      <c r="T184" s="621">
        <v>0.75</v>
      </c>
      <c r="U184" s="621">
        <v>0.75</v>
      </c>
      <c r="V184" s="621">
        <v>0.75</v>
      </c>
      <c r="W184" s="621">
        <v>0.9</v>
      </c>
      <c r="X184" s="621">
        <v>0.9</v>
      </c>
      <c r="Y184" s="621">
        <v>0.9</v>
      </c>
      <c r="Z184" s="621">
        <v>0.9</v>
      </c>
      <c r="AA184" s="621">
        <v>0.75</v>
      </c>
      <c r="AB184" s="621">
        <v>0.5</v>
      </c>
      <c r="AC184" s="623">
        <v>0.5</v>
      </c>
      <c r="AD184" s="41"/>
      <c r="AE184" s="41"/>
      <c r="AF184" s="41"/>
      <c r="AG184" s="41"/>
      <c r="AH184" s="41"/>
      <c r="AI184" s="41"/>
      <c r="AJ184" s="41"/>
      <c r="AK184" s="41"/>
    </row>
    <row r="185" spans="1:37" ht="30.6" customHeight="1">
      <c r="A185" s="1010"/>
      <c r="B185" s="1103"/>
      <c r="C185" s="1013"/>
      <c r="D185" s="1109"/>
      <c r="E185" s="106" t="s">
        <v>524</v>
      </c>
      <c r="F185" s="81">
        <v>0.5</v>
      </c>
      <c r="G185" s="81">
        <v>0</v>
      </c>
      <c r="H185" s="81">
        <v>0</v>
      </c>
      <c r="I185" s="81">
        <v>0</v>
      </c>
      <c r="J185" s="81">
        <v>0</v>
      </c>
      <c r="K185" s="81">
        <v>0</v>
      </c>
      <c r="L185" s="608">
        <v>0.5</v>
      </c>
      <c r="M185" s="608">
        <v>0.9</v>
      </c>
      <c r="N185" s="608">
        <v>0.9</v>
      </c>
      <c r="O185" s="608">
        <v>0.9</v>
      </c>
      <c r="P185" s="81">
        <v>0.9</v>
      </c>
      <c r="Q185" s="81">
        <v>0.9</v>
      </c>
      <c r="R185" s="81">
        <v>0.9</v>
      </c>
      <c r="S185" s="81">
        <v>0.9</v>
      </c>
      <c r="T185" s="81">
        <v>0.75</v>
      </c>
      <c r="U185" s="81">
        <v>0.75</v>
      </c>
      <c r="V185" s="81">
        <v>0.75</v>
      </c>
      <c r="W185" s="81">
        <v>0.9</v>
      </c>
      <c r="X185" s="81">
        <v>0.9</v>
      </c>
      <c r="Y185" s="81">
        <v>0.9</v>
      </c>
      <c r="Z185" s="81">
        <v>0.9</v>
      </c>
      <c r="AA185" s="81">
        <v>0.75</v>
      </c>
      <c r="AB185" s="81">
        <v>0.75</v>
      </c>
      <c r="AC185" s="84">
        <v>0.5</v>
      </c>
      <c r="AD185" s="41"/>
      <c r="AE185" s="41"/>
      <c r="AF185" s="41"/>
      <c r="AG185" s="41"/>
      <c r="AH185" s="41"/>
      <c r="AI185" s="41"/>
      <c r="AJ185" s="41"/>
      <c r="AK185" s="41"/>
    </row>
    <row r="186" spans="1:37" ht="30.6" customHeight="1" thickBot="1">
      <c r="A186" s="1011"/>
      <c r="B186" s="1104"/>
      <c r="C186" s="1014"/>
      <c r="D186" s="1110"/>
      <c r="E186" s="107" t="s">
        <v>526</v>
      </c>
      <c r="F186" s="82">
        <v>0.5</v>
      </c>
      <c r="G186" s="82">
        <v>0</v>
      </c>
      <c r="H186" s="82">
        <v>0</v>
      </c>
      <c r="I186" s="82">
        <v>0</v>
      </c>
      <c r="J186" s="82">
        <v>0</v>
      </c>
      <c r="K186" s="82">
        <v>0</v>
      </c>
      <c r="L186" s="624">
        <v>0.5</v>
      </c>
      <c r="M186" s="624">
        <v>0.9</v>
      </c>
      <c r="N186" s="624">
        <v>0.9</v>
      </c>
      <c r="O186" s="624">
        <v>0.9</v>
      </c>
      <c r="P186" s="82">
        <v>0.9</v>
      </c>
      <c r="Q186" s="82">
        <v>0.9</v>
      </c>
      <c r="R186" s="82">
        <v>0.9</v>
      </c>
      <c r="S186" s="82">
        <v>0.9</v>
      </c>
      <c r="T186" s="82">
        <v>0.75</v>
      </c>
      <c r="U186" s="82">
        <v>0.75</v>
      </c>
      <c r="V186" s="82">
        <v>0.75</v>
      </c>
      <c r="W186" s="82">
        <v>0.9</v>
      </c>
      <c r="X186" s="82">
        <v>0.9</v>
      </c>
      <c r="Y186" s="82">
        <v>0.9</v>
      </c>
      <c r="Z186" s="82">
        <v>0.9</v>
      </c>
      <c r="AA186" s="82">
        <v>0.75</v>
      </c>
      <c r="AB186" s="82">
        <v>0.5</v>
      </c>
      <c r="AC186" s="85">
        <v>0.5</v>
      </c>
      <c r="AD186" s="41"/>
      <c r="AE186" s="41"/>
      <c r="AF186" s="41"/>
      <c r="AG186" s="41"/>
      <c r="AH186" s="41"/>
      <c r="AI186" s="41"/>
      <c r="AJ186" s="41"/>
      <c r="AK186" s="41"/>
    </row>
    <row r="187" spans="1:37" ht="30.6" customHeight="1">
      <c r="A187" s="999" t="str">
        <f>A181</f>
        <v>Kitchen</v>
      </c>
      <c r="B187" s="1095" t="str">
        <f>B181</f>
        <v>Kitchen</v>
      </c>
      <c r="C187" s="1005" t="s">
        <v>715</v>
      </c>
      <c r="D187" s="1031" t="s">
        <v>741</v>
      </c>
      <c r="E187" s="658" t="s">
        <v>517</v>
      </c>
      <c r="F187" s="659">
        <f>IF(F166=1,Thermostat!$B$15,Thermostat!$B$16)</f>
        <v>66</v>
      </c>
      <c r="G187" s="659">
        <f>IF(G166=1,Thermostat!$B$15,Thermostat!$B$16)</f>
        <v>60</v>
      </c>
      <c r="H187" s="659">
        <f>IF(H166=1,Thermostat!$B$15,Thermostat!$B$16)</f>
        <v>60</v>
      </c>
      <c r="I187" s="659">
        <f>IF(I166=1,Thermostat!$B$15,Thermostat!$B$16)</f>
        <v>60</v>
      </c>
      <c r="J187" s="659">
        <f>IF(J166=1,Thermostat!$B$15,Thermostat!$B$16)</f>
        <v>66</v>
      </c>
      <c r="K187" s="659">
        <f>IF(K166=1,Thermostat!$B$15,Thermostat!$B$16)</f>
        <v>66</v>
      </c>
      <c r="L187" s="659">
        <f>IF(L166=1,Thermostat!$B$15,Thermostat!$B$16)</f>
        <v>66</v>
      </c>
      <c r="M187" s="659">
        <f>IF(M166=1,Thermostat!$B$15,Thermostat!$B$16)</f>
        <v>66</v>
      </c>
      <c r="N187" s="659">
        <f>IF(N166=1,Thermostat!$B$15,Thermostat!$B$16)</f>
        <v>66</v>
      </c>
      <c r="O187" s="659">
        <f>IF(O166=1,Thermostat!$B$15,Thermostat!$B$16)</f>
        <v>66</v>
      </c>
      <c r="P187" s="659">
        <f>IF(P166=1,Thermostat!$B$15,Thermostat!$B$16)</f>
        <v>66</v>
      </c>
      <c r="Q187" s="659">
        <f>IF(Q166=1,Thermostat!$B$15,Thermostat!$B$16)</f>
        <v>66</v>
      </c>
      <c r="R187" s="659">
        <f>IF(R166=1,Thermostat!$B$15,Thermostat!$B$16)</f>
        <v>66</v>
      </c>
      <c r="S187" s="659">
        <f>IF(S166=1,Thermostat!$B$15,Thermostat!$B$16)</f>
        <v>66</v>
      </c>
      <c r="T187" s="659">
        <f>IF(T166=1,Thermostat!$B$15,Thermostat!$B$16)</f>
        <v>66</v>
      </c>
      <c r="U187" s="659">
        <f>IF(U166=1,Thermostat!$B$15,Thermostat!$B$16)</f>
        <v>66</v>
      </c>
      <c r="V187" s="659">
        <f>IF(V166=1,Thermostat!$B$15,Thermostat!$B$16)</f>
        <v>66</v>
      </c>
      <c r="W187" s="659">
        <f>IF(W166=1,Thermostat!$B$15,Thermostat!$B$16)</f>
        <v>66</v>
      </c>
      <c r="X187" s="659">
        <f>IF(X166=1,Thermostat!$B$15,Thermostat!$B$16)</f>
        <v>66</v>
      </c>
      <c r="Y187" s="659">
        <f>IF(Y166=1,Thermostat!$B$15,Thermostat!$B$16)</f>
        <v>66</v>
      </c>
      <c r="Z187" s="659">
        <f>IF(Z166=1,Thermostat!$B$15,Thermostat!$B$16)</f>
        <v>66</v>
      </c>
      <c r="AA187" s="659">
        <f>IF(AA166=1,Thermostat!$B$15,Thermostat!$B$16)</f>
        <v>66</v>
      </c>
      <c r="AB187" s="659">
        <f>IF(AB166=1,Thermostat!$B$15,Thermostat!$B$16)</f>
        <v>66</v>
      </c>
      <c r="AC187" s="660">
        <f>IF(AC166=1,Thermostat!$B$15,Thermostat!$B$16)</f>
        <v>66</v>
      </c>
      <c r="AD187" s="41"/>
      <c r="AE187" s="41"/>
      <c r="AF187" s="41"/>
      <c r="AG187" s="41"/>
      <c r="AH187" s="41"/>
      <c r="AI187" s="41"/>
      <c r="AJ187" s="41"/>
      <c r="AK187" s="41"/>
    </row>
    <row r="188" spans="1:37" ht="30.6" customHeight="1">
      <c r="A188" s="1000"/>
      <c r="B188" s="1096"/>
      <c r="C188" s="1003"/>
      <c r="D188" s="1032"/>
      <c r="E188" s="661" t="s">
        <v>524</v>
      </c>
      <c r="F188" s="545">
        <f>IF(F167=1,Thermostat!$B$15,Thermostat!$B$16)</f>
        <v>66</v>
      </c>
      <c r="G188" s="545">
        <f>IF(G167=1,Thermostat!$B$15,Thermostat!$B$16)</f>
        <v>60</v>
      </c>
      <c r="H188" s="545">
        <f>IF(H167=1,Thermostat!$B$15,Thermostat!$B$16)</f>
        <v>60</v>
      </c>
      <c r="I188" s="545">
        <f>IF(I167=1,Thermostat!$B$15,Thermostat!$B$16)</f>
        <v>60</v>
      </c>
      <c r="J188" s="545">
        <f>IF(J167=1,Thermostat!$B$15,Thermostat!$B$16)</f>
        <v>60</v>
      </c>
      <c r="K188" s="545">
        <f>IF(K167=1,Thermostat!$B$15,Thermostat!$B$16)</f>
        <v>66</v>
      </c>
      <c r="L188" s="545">
        <f>IF(L167=1,Thermostat!$B$15,Thermostat!$B$16)</f>
        <v>66</v>
      </c>
      <c r="M188" s="545">
        <f>IF(M167=1,Thermostat!$B$15,Thermostat!$B$16)</f>
        <v>66</v>
      </c>
      <c r="N188" s="545">
        <f>IF(N167=1,Thermostat!$B$15,Thermostat!$B$16)</f>
        <v>66</v>
      </c>
      <c r="O188" s="545">
        <f>IF(O167=1,Thermostat!$B$15,Thermostat!$B$16)</f>
        <v>66</v>
      </c>
      <c r="P188" s="545">
        <f>IF(P167=1,Thermostat!$B$15,Thermostat!$B$16)</f>
        <v>66</v>
      </c>
      <c r="Q188" s="545">
        <f>IF(Q167=1,Thermostat!$B$15,Thermostat!$B$16)</f>
        <v>66</v>
      </c>
      <c r="R188" s="545">
        <f>IF(R167=1,Thermostat!$B$15,Thermostat!$B$16)</f>
        <v>66</v>
      </c>
      <c r="S188" s="545">
        <f>IF(S167=1,Thermostat!$B$15,Thermostat!$B$16)</f>
        <v>66</v>
      </c>
      <c r="T188" s="545">
        <f>IF(T167=1,Thermostat!$B$15,Thermostat!$B$16)</f>
        <v>66</v>
      </c>
      <c r="U188" s="545">
        <f>IF(U167=1,Thermostat!$B$15,Thermostat!$B$16)</f>
        <v>66</v>
      </c>
      <c r="V188" s="545">
        <f>IF(V167=1,Thermostat!$B$15,Thermostat!$B$16)</f>
        <v>66</v>
      </c>
      <c r="W188" s="545">
        <f>IF(W167=1,Thermostat!$B$15,Thermostat!$B$16)</f>
        <v>66</v>
      </c>
      <c r="X188" s="545">
        <f>IF(X167=1,Thermostat!$B$15,Thermostat!$B$16)</f>
        <v>66</v>
      </c>
      <c r="Y188" s="545">
        <f>IF(Y167=1,Thermostat!$B$15,Thermostat!$B$16)</f>
        <v>66</v>
      </c>
      <c r="Z188" s="545">
        <f>IF(Z167=1,Thermostat!$B$15,Thermostat!$B$16)</f>
        <v>66</v>
      </c>
      <c r="AA188" s="545">
        <f>IF(AA167=1,Thermostat!$B$15,Thermostat!$B$16)</f>
        <v>66</v>
      </c>
      <c r="AB188" s="545">
        <f>IF(AB167=1,Thermostat!$B$15,Thermostat!$B$16)</f>
        <v>66</v>
      </c>
      <c r="AC188" s="662">
        <f>IF(AC167=1,Thermostat!$B$15,Thermostat!$B$16)</f>
        <v>66</v>
      </c>
      <c r="AD188" s="41"/>
      <c r="AE188" s="41"/>
      <c r="AF188" s="41"/>
      <c r="AG188" s="41"/>
      <c r="AH188" s="41"/>
      <c r="AI188" s="41"/>
      <c r="AJ188" s="41"/>
      <c r="AK188" s="41"/>
    </row>
    <row r="189" spans="1:37" ht="30.6" customHeight="1">
      <c r="A189" s="1088"/>
      <c r="B189" s="1097"/>
      <c r="C189" s="1030"/>
      <c r="D189" s="1033"/>
      <c r="E189" s="663" t="s">
        <v>526</v>
      </c>
      <c r="F189" s="545">
        <f>IF(F168=1,Thermostat!$B$15,Thermostat!$B$16)</f>
        <v>66</v>
      </c>
      <c r="G189" s="545">
        <f>IF(G168=1,Thermostat!$B$15,Thermostat!$B$16)</f>
        <v>60</v>
      </c>
      <c r="H189" s="545">
        <f>IF(H168=1,Thermostat!$B$15,Thermostat!$B$16)</f>
        <v>60</v>
      </c>
      <c r="I189" s="545">
        <f>IF(I168=1,Thermostat!$B$15,Thermostat!$B$16)</f>
        <v>60</v>
      </c>
      <c r="J189" s="545">
        <f>IF(J168=1,Thermostat!$B$15,Thermostat!$B$16)</f>
        <v>60</v>
      </c>
      <c r="K189" s="545">
        <f>IF(K168=1,Thermostat!$B$15,Thermostat!$B$16)</f>
        <v>66</v>
      </c>
      <c r="L189" s="545">
        <f>IF(L168=1,Thermostat!$B$15,Thermostat!$B$16)</f>
        <v>66</v>
      </c>
      <c r="M189" s="545">
        <f>IF(M168=1,Thermostat!$B$15,Thermostat!$B$16)</f>
        <v>66</v>
      </c>
      <c r="N189" s="545">
        <f>IF(N168=1,Thermostat!$B$15,Thermostat!$B$16)</f>
        <v>66</v>
      </c>
      <c r="O189" s="545">
        <f>IF(O168=1,Thermostat!$B$15,Thermostat!$B$16)</f>
        <v>66</v>
      </c>
      <c r="P189" s="545">
        <f>IF(P168=1,Thermostat!$B$15,Thermostat!$B$16)</f>
        <v>66</v>
      </c>
      <c r="Q189" s="545">
        <f>IF(Q168=1,Thermostat!$B$15,Thermostat!$B$16)</f>
        <v>66</v>
      </c>
      <c r="R189" s="545">
        <f>IF(R168=1,Thermostat!$B$15,Thermostat!$B$16)</f>
        <v>66</v>
      </c>
      <c r="S189" s="545">
        <f>IF(S168=1,Thermostat!$B$15,Thermostat!$B$16)</f>
        <v>66</v>
      </c>
      <c r="T189" s="545">
        <f>IF(T168=1,Thermostat!$B$15,Thermostat!$B$16)</f>
        <v>66</v>
      </c>
      <c r="U189" s="545">
        <f>IF(U168=1,Thermostat!$B$15,Thermostat!$B$16)</f>
        <v>66</v>
      </c>
      <c r="V189" s="545">
        <f>IF(V168=1,Thermostat!$B$15,Thermostat!$B$16)</f>
        <v>66</v>
      </c>
      <c r="W189" s="545">
        <f>IF(W168=1,Thermostat!$B$15,Thermostat!$B$16)</f>
        <v>66</v>
      </c>
      <c r="X189" s="545">
        <f>IF(X168=1,Thermostat!$B$15,Thermostat!$B$16)</f>
        <v>66</v>
      </c>
      <c r="Y189" s="545">
        <f>IF(Y168=1,Thermostat!$B$15,Thermostat!$B$16)</f>
        <v>66</v>
      </c>
      <c r="Z189" s="545">
        <f>IF(Z168=1,Thermostat!$B$15,Thermostat!$B$16)</f>
        <v>66</v>
      </c>
      <c r="AA189" s="545">
        <f>IF(AA168=1,Thermostat!$B$15,Thermostat!$B$16)</f>
        <v>66</v>
      </c>
      <c r="AB189" s="545">
        <f>IF(AB168=1,Thermostat!$B$15,Thermostat!$B$16)</f>
        <v>66</v>
      </c>
      <c r="AC189" s="662">
        <f>IF(AC168=1,Thermostat!$B$15,Thermostat!$B$16)</f>
        <v>66</v>
      </c>
      <c r="AD189" s="41"/>
      <c r="AE189" s="41"/>
      <c r="AF189" s="41"/>
      <c r="AG189" s="41"/>
      <c r="AH189" s="41"/>
      <c r="AI189" s="41"/>
      <c r="AJ189" s="41"/>
      <c r="AK189" s="41"/>
    </row>
    <row r="190" spans="1:37" ht="30.6" customHeight="1">
      <c r="A190" s="999" t="str">
        <f>A184</f>
        <v>Kitchen</v>
      </c>
      <c r="B190" s="1095" t="str">
        <f>B184</f>
        <v>Kitchen</v>
      </c>
      <c r="C190" s="1005" t="s">
        <v>716</v>
      </c>
      <c r="D190" s="1043" t="s">
        <v>741</v>
      </c>
      <c r="E190" s="664" t="s">
        <v>517</v>
      </c>
      <c r="F190" s="539">
        <f>IF(F166=1,Thermostat!$B$17,Thermostat!$B$18)</f>
        <v>79</v>
      </c>
      <c r="G190" s="539">
        <f>IF(G166=1,Thermostat!$B$17,Thermostat!$B$18)</f>
        <v>86</v>
      </c>
      <c r="H190" s="539">
        <f>IF(H166=1,Thermostat!$B$17,Thermostat!$B$18)</f>
        <v>86</v>
      </c>
      <c r="I190" s="539">
        <f>IF(I166=1,Thermostat!$B$17,Thermostat!$B$18)</f>
        <v>86</v>
      </c>
      <c r="J190" s="539">
        <f>IF(J166=1,Thermostat!$B$17,Thermostat!$B$18)</f>
        <v>79</v>
      </c>
      <c r="K190" s="539">
        <f>IF(K166=1,Thermostat!$B$17,Thermostat!$B$18)</f>
        <v>79</v>
      </c>
      <c r="L190" s="539">
        <f>IF(L166=1,Thermostat!$B$17,Thermostat!$B$18)</f>
        <v>79</v>
      </c>
      <c r="M190" s="539">
        <f>IF(M166=1,Thermostat!$B$17,Thermostat!$B$18)</f>
        <v>79</v>
      </c>
      <c r="N190" s="539">
        <f>IF(N166=1,Thermostat!$B$17,Thermostat!$B$18)</f>
        <v>79</v>
      </c>
      <c r="O190" s="539">
        <f>IF(O166=1,Thermostat!$B$17,Thermostat!$B$18)</f>
        <v>79</v>
      </c>
      <c r="P190" s="539">
        <f>IF(P166=1,Thermostat!$B$17,Thermostat!$B$18)</f>
        <v>79</v>
      </c>
      <c r="Q190" s="539">
        <f>IF(Q166=1,Thermostat!$B$17,Thermostat!$B$18)</f>
        <v>79</v>
      </c>
      <c r="R190" s="539">
        <f>IF(R166=1,Thermostat!$B$17,Thermostat!$B$18)</f>
        <v>79</v>
      </c>
      <c r="S190" s="539">
        <f>IF(S166=1,Thermostat!$B$17,Thermostat!$B$18)</f>
        <v>79</v>
      </c>
      <c r="T190" s="539">
        <f>IF(T166=1,Thermostat!$B$17,Thermostat!$B$18)</f>
        <v>79</v>
      </c>
      <c r="U190" s="539">
        <f>IF(U166=1,Thermostat!$B$17,Thermostat!$B$18)</f>
        <v>79</v>
      </c>
      <c r="V190" s="539">
        <f>IF(V166=1,Thermostat!$B$17,Thermostat!$B$18)</f>
        <v>79</v>
      </c>
      <c r="W190" s="539">
        <f>IF(W166=1,Thermostat!$B$17,Thermostat!$B$18)</f>
        <v>79</v>
      </c>
      <c r="X190" s="539">
        <f>IF(X166=1,Thermostat!$B$17,Thermostat!$B$18)</f>
        <v>79</v>
      </c>
      <c r="Y190" s="539">
        <f>IF(Y166=1,Thermostat!$B$17,Thermostat!$B$18)</f>
        <v>79</v>
      </c>
      <c r="Z190" s="539">
        <f>IF(Z166=1,Thermostat!$B$17,Thermostat!$B$18)</f>
        <v>79</v>
      </c>
      <c r="AA190" s="539">
        <f>IF(AA166=1,Thermostat!$B$17,Thermostat!$B$18)</f>
        <v>79</v>
      </c>
      <c r="AB190" s="539">
        <f>IF(AB166=1,Thermostat!$B$17,Thermostat!$B$18)</f>
        <v>79</v>
      </c>
      <c r="AC190" s="665">
        <f>IF(AC166=1,Thermostat!$B$17,Thermostat!$B$18)</f>
        <v>79</v>
      </c>
      <c r="AD190" s="41"/>
      <c r="AE190" s="41"/>
      <c r="AF190" s="41"/>
      <c r="AG190" s="41"/>
      <c r="AH190" s="41"/>
      <c r="AI190" s="41"/>
      <c r="AJ190" s="41"/>
      <c r="AK190" s="41"/>
    </row>
    <row r="191" spans="1:37" ht="30.6" customHeight="1">
      <c r="A191" s="1000"/>
      <c r="B191" s="1096"/>
      <c r="C191" s="1003"/>
      <c r="D191" s="1032"/>
      <c r="E191" s="666" t="s">
        <v>524</v>
      </c>
      <c r="F191" s="532">
        <f>IF(F167=1,Thermostat!$B$17,Thermostat!$B$18)</f>
        <v>79</v>
      </c>
      <c r="G191" s="532">
        <f>IF(G167=1,Thermostat!$B$17,Thermostat!$B$18)</f>
        <v>86</v>
      </c>
      <c r="H191" s="532">
        <f>IF(H167=1,Thermostat!$B$17,Thermostat!$B$18)</f>
        <v>86</v>
      </c>
      <c r="I191" s="532">
        <f>IF(I167=1,Thermostat!$B$17,Thermostat!$B$18)</f>
        <v>86</v>
      </c>
      <c r="J191" s="532">
        <f>IF(J167=1,Thermostat!$B$17,Thermostat!$B$18)</f>
        <v>86</v>
      </c>
      <c r="K191" s="532">
        <f>IF(K167=1,Thermostat!$B$17,Thermostat!$B$18)</f>
        <v>79</v>
      </c>
      <c r="L191" s="532">
        <f>IF(L167=1,Thermostat!$B$17,Thermostat!$B$18)</f>
        <v>79</v>
      </c>
      <c r="M191" s="532">
        <f>IF(M167=1,Thermostat!$B$17,Thermostat!$B$18)</f>
        <v>79</v>
      </c>
      <c r="N191" s="532">
        <f>IF(N167=1,Thermostat!$B$17,Thermostat!$B$18)</f>
        <v>79</v>
      </c>
      <c r="O191" s="532">
        <f>IF(O167=1,Thermostat!$B$17,Thermostat!$B$18)</f>
        <v>79</v>
      </c>
      <c r="P191" s="532">
        <f>IF(P167=1,Thermostat!$B$17,Thermostat!$B$18)</f>
        <v>79</v>
      </c>
      <c r="Q191" s="532">
        <f>IF(Q167=1,Thermostat!$B$17,Thermostat!$B$18)</f>
        <v>79</v>
      </c>
      <c r="R191" s="532">
        <f>IF(R167=1,Thermostat!$B$17,Thermostat!$B$18)</f>
        <v>79</v>
      </c>
      <c r="S191" s="532">
        <f>IF(S167=1,Thermostat!$B$17,Thermostat!$B$18)</f>
        <v>79</v>
      </c>
      <c r="T191" s="532">
        <f>IF(T167=1,Thermostat!$B$17,Thermostat!$B$18)</f>
        <v>79</v>
      </c>
      <c r="U191" s="532">
        <f>IF(U167=1,Thermostat!$B$17,Thermostat!$B$18)</f>
        <v>79</v>
      </c>
      <c r="V191" s="532">
        <f>IF(V167=1,Thermostat!$B$17,Thermostat!$B$18)</f>
        <v>79</v>
      </c>
      <c r="W191" s="532">
        <f>IF(W167=1,Thermostat!$B$17,Thermostat!$B$18)</f>
        <v>79</v>
      </c>
      <c r="X191" s="532">
        <f>IF(X167=1,Thermostat!$B$17,Thermostat!$B$18)</f>
        <v>79</v>
      </c>
      <c r="Y191" s="532">
        <f>IF(Y167=1,Thermostat!$B$17,Thermostat!$B$18)</f>
        <v>79</v>
      </c>
      <c r="Z191" s="532">
        <f>IF(Z167=1,Thermostat!$B$17,Thermostat!$B$18)</f>
        <v>79</v>
      </c>
      <c r="AA191" s="532">
        <f>IF(AA167=1,Thermostat!$B$17,Thermostat!$B$18)</f>
        <v>79</v>
      </c>
      <c r="AB191" s="532">
        <f>IF(AB167=1,Thermostat!$B$17,Thermostat!$B$18)</f>
        <v>79</v>
      </c>
      <c r="AC191" s="667">
        <f>IF(AC167=1,Thermostat!$B$17,Thermostat!$B$18)</f>
        <v>79</v>
      </c>
      <c r="AD191" s="41"/>
      <c r="AE191" s="41"/>
      <c r="AF191" s="41"/>
      <c r="AG191" s="41"/>
      <c r="AH191" s="41"/>
      <c r="AI191" s="41"/>
      <c r="AJ191" s="41"/>
      <c r="AK191" s="41"/>
    </row>
    <row r="192" spans="1:37" ht="30.6" customHeight="1" thickBot="1">
      <c r="A192" s="1001"/>
      <c r="B192" s="1098"/>
      <c r="C192" s="1004"/>
      <c r="D192" s="1082"/>
      <c r="E192" s="668" t="s">
        <v>526</v>
      </c>
      <c r="F192" s="669">
        <f>IF(F168=1,Thermostat!$B$17,Thermostat!$B$18)</f>
        <v>79</v>
      </c>
      <c r="G192" s="669">
        <f>IF(G168=1,Thermostat!$B$17,Thermostat!$B$18)</f>
        <v>86</v>
      </c>
      <c r="H192" s="669">
        <f>IF(H168=1,Thermostat!$B$17,Thermostat!$B$18)</f>
        <v>86</v>
      </c>
      <c r="I192" s="669">
        <f>IF(I168=1,Thermostat!$B$17,Thermostat!$B$18)</f>
        <v>86</v>
      </c>
      <c r="J192" s="669">
        <f>IF(J168=1,Thermostat!$B$17,Thermostat!$B$18)</f>
        <v>86</v>
      </c>
      <c r="K192" s="669">
        <f>IF(K168=1,Thermostat!$B$17,Thermostat!$B$18)</f>
        <v>79</v>
      </c>
      <c r="L192" s="669">
        <f>IF(L168=1,Thermostat!$B$17,Thermostat!$B$18)</f>
        <v>79</v>
      </c>
      <c r="M192" s="669">
        <f>IF(M168=1,Thermostat!$B$17,Thermostat!$B$18)</f>
        <v>79</v>
      </c>
      <c r="N192" s="669">
        <f>IF(N168=1,Thermostat!$B$17,Thermostat!$B$18)</f>
        <v>79</v>
      </c>
      <c r="O192" s="669">
        <f>IF(O168=1,Thermostat!$B$17,Thermostat!$B$18)</f>
        <v>79</v>
      </c>
      <c r="P192" s="669">
        <f>IF(P168=1,Thermostat!$B$17,Thermostat!$B$18)</f>
        <v>79</v>
      </c>
      <c r="Q192" s="669">
        <f>IF(Q168=1,Thermostat!$B$17,Thermostat!$B$18)</f>
        <v>79</v>
      </c>
      <c r="R192" s="669">
        <f>IF(R168=1,Thermostat!$B$17,Thermostat!$B$18)</f>
        <v>79</v>
      </c>
      <c r="S192" s="669">
        <f>IF(S168=1,Thermostat!$B$17,Thermostat!$B$18)</f>
        <v>79</v>
      </c>
      <c r="T192" s="669">
        <f>IF(T168=1,Thermostat!$B$17,Thermostat!$B$18)</f>
        <v>79</v>
      </c>
      <c r="U192" s="669">
        <f>IF(U168=1,Thermostat!$B$17,Thermostat!$B$18)</f>
        <v>79</v>
      </c>
      <c r="V192" s="669">
        <f>IF(V168=1,Thermostat!$B$17,Thermostat!$B$18)</f>
        <v>79</v>
      </c>
      <c r="W192" s="669">
        <f>IF(W168=1,Thermostat!$B$17,Thermostat!$B$18)</f>
        <v>79</v>
      </c>
      <c r="X192" s="669">
        <f>IF(X168=1,Thermostat!$B$17,Thermostat!$B$18)</f>
        <v>79</v>
      </c>
      <c r="Y192" s="669">
        <f>IF(Y168=1,Thermostat!$B$17,Thermostat!$B$18)</f>
        <v>79</v>
      </c>
      <c r="Z192" s="669">
        <f>IF(Z168=1,Thermostat!$B$17,Thermostat!$B$18)</f>
        <v>79</v>
      </c>
      <c r="AA192" s="669">
        <f>IF(AA168=1,Thermostat!$B$17,Thermostat!$B$18)</f>
        <v>79</v>
      </c>
      <c r="AB192" s="669">
        <f>IF(AB168=1,Thermostat!$B$17,Thermostat!$B$18)</f>
        <v>79</v>
      </c>
      <c r="AC192" s="670">
        <f>IF(AC168=1,Thermostat!$B$17,Thermostat!$B$18)</f>
        <v>79</v>
      </c>
      <c r="AD192" s="41"/>
      <c r="AE192" s="41"/>
      <c r="AF192" s="41"/>
      <c r="AG192" s="41"/>
      <c r="AH192" s="41"/>
      <c r="AI192" s="41"/>
      <c r="AJ192" s="41"/>
      <c r="AK192" s="41"/>
    </row>
    <row r="193" spans="1:29" ht="20.45" customHeight="1" thickBot="1">
      <c r="A193" s="1179" t="s">
        <v>128</v>
      </c>
      <c r="B193" s="1179"/>
      <c r="C193" s="1179" t="s">
        <v>742</v>
      </c>
      <c r="D193" s="1179"/>
      <c r="E193" s="1179"/>
      <c r="F193" s="1179"/>
      <c r="G193" s="1179"/>
      <c r="H193" s="1179"/>
      <c r="I193" s="1179"/>
      <c r="J193" s="1179"/>
      <c r="K193" s="1179"/>
      <c r="L193" s="1179"/>
      <c r="M193" s="1179"/>
      <c r="N193" s="1179"/>
      <c r="O193" s="1179"/>
      <c r="P193" s="1179"/>
      <c r="Q193" s="1179"/>
      <c r="R193" s="1179"/>
      <c r="S193" s="1179"/>
      <c r="T193" s="1179"/>
      <c r="U193" s="1179"/>
      <c r="V193" s="1179"/>
      <c r="W193" s="1179"/>
      <c r="X193" s="1179"/>
      <c r="Y193" s="1179"/>
      <c r="Z193" s="1179"/>
      <c r="AA193" s="1179"/>
      <c r="AB193" s="1179"/>
      <c r="AC193" s="1180"/>
    </row>
    <row r="194" spans="1:29" ht="34.15" customHeight="1">
      <c r="A194" s="999" t="s">
        <v>743</v>
      </c>
      <c r="B194" s="1026" t="s">
        <v>128</v>
      </c>
      <c r="C194" s="1005" t="s">
        <v>706</v>
      </c>
      <c r="D194" s="1031" t="s">
        <v>744</v>
      </c>
      <c r="E194" s="105" t="s">
        <v>517</v>
      </c>
      <c r="F194" s="80">
        <v>0</v>
      </c>
      <c r="G194" s="80">
        <v>0</v>
      </c>
      <c r="H194" s="80">
        <v>0</v>
      </c>
      <c r="I194" s="80">
        <v>0</v>
      </c>
      <c r="J194" s="80">
        <v>0</v>
      </c>
      <c r="K194" s="80">
        <v>0</v>
      </c>
      <c r="L194" s="80">
        <v>0.1</v>
      </c>
      <c r="M194" s="80">
        <v>0.2</v>
      </c>
      <c r="N194" s="80">
        <v>0.95</v>
      </c>
      <c r="O194" s="80">
        <v>0.95</v>
      </c>
      <c r="P194" s="80">
        <v>0.95</v>
      </c>
      <c r="Q194" s="80">
        <v>0.95</v>
      </c>
      <c r="R194" s="80">
        <v>0.5</v>
      </c>
      <c r="S194" s="80">
        <v>0.95</v>
      </c>
      <c r="T194" s="80">
        <v>0.95</v>
      </c>
      <c r="U194" s="80">
        <v>0.95</v>
      </c>
      <c r="V194" s="80">
        <v>0.95</v>
      </c>
      <c r="W194" s="80">
        <v>0.3</v>
      </c>
      <c r="X194" s="80">
        <v>0.1</v>
      </c>
      <c r="Y194" s="80">
        <v>0.1</v>
      </c>
      <c r="Z194" s="80">
        <v>0.1</v>
      </c>
      <c r="AA194" s="80">
        <v>0.1</v>
      </c>
      <c r="AB194" s="80">
        <v>0.05</v>
      </c>
      <c r="AC194" s="83">
        <v>0.05</v>
      </c>
    </row>
    <row r="195" spans="1:29" ht="34.15" customHeight="1">
      <c r="A195" s="1000"/>
      <c r="B195" s="1027"/>
      <c r="C195" s="1003"/>
      <c r="D195" s="1032"/>
      <c r="E195" s="106" t="s">
        <v>524</v>
      </c>
      <c r="F195" s="81">
        <v>0</v>
      </c>
      <c r="G195" s="81">
        <v>0</v>
      </c>
      <c r="H195" s="81">
        <v>0</v>
      </c>
      <c r="I195" s="81">
        <v>0</v>
      </c>
      <c r="J195" s="81">
        <v>0</v>
      </c>
      <c r="K195" s="81">
        <v>0</v>
      </c>
      <c r="L195" s="677">
        <v>0.05</v>
      </c>
      <c r="M195" s="677">
        <v>0.05</v>
      </c>
      <c r="N195" s="677">
        <v>0.05</v>
      </c>
      <c r="O195" s="677">
        <v>0.05</v>
      </c>
      <c r="P195" s="677">
        <v>0.05</v>
      </c>
      <c r="Q195" s="677">
        <v>0.05</v>
      </c>
      <c r="R195" s="677">
        <v>0.05</v>
      </c>
      <c r="S195" s="677">
        <v>0.05</v>
      </c>
      <c r="T195" s="677">
        <v>0.05</v>
      </c>
      <c r="U195" s="677">
        <v>0.05</v>
      </c>
      <c r="V195" s="677">
        <v>0.05</v>
      </c>
      <c r="W195" s="677">
        <v>0.05</v>
      </c>
      <c r="X195" s="678">
        <v>0</v>
      </c>
      <c r="Y195" s="81">
        <v>0</v>
      </c>
      <c r="Z195" s="81">
        <v>0</v>
      </c>
      <c r="AA195" s="81">
        <v>0</v>
      </c>
      <c r="AB195" s="81">
        <v>0</v>
      </c>
      <c r="AC195" s="84">
        <v>0</v>
      </c>
    </row>
    <row r="196" spans="1:29" ht="34.15" customHeight="1" thickBot="1">
      <c r="A196" s="1088"/>
      <c r="B196" s="1028"/>
      <c r="C196" s="1030"/>
      <c r="D196" s="1033"/>
      <c r="E196" s="609" t="s">
        <v>526</v>
      </c>
      <c r="F196" s="108">
        <v>0</v>
      </c>
      <c r="G196" s="108">
        <v>0</v>
      </c>
      <c r="H196" s="108">
        <v>0</v>
      </c>
      <c r="I196" s="108">
        <v>0</v>
      </c>
      <c r="J196" s="108">
        <v>0</v>
      </c>
      <c r="K196" s="108">
        <v>0</v>
      </c>
      <c r="L196" s="108">
        <v>0.05</v>
      </c>
      <c r="M196" s="108">
        <v>0.05</v>
      </c>
      <c r="N196" s="108">
        <v>0.05</v>
      </c>
      <c r="O196" s="108">
        <v>0.05</v>
      </c>
      <c r="P196" s="108">
        <v>0.05</v>
      </c>
      <c r="Q196" s="108">
        <v>0.05</v>
      </c>
      <c r="R196" s="108">
        <v>0.05</v>
      </c>
      <c r="S196" s="108">
        <v>0.05</v>
      </c>
      <c r="T196" s="108">
        <v>0.05</v>
      </c>
      <c r="U196" s="108">
        <v>0.05</v>
      </c>
      <c r="V196" s="108">
        <v>0.05</v>
      </c>
      <c r="W196" s="108">
        <v>0.05</v>
      </c>
      <c r="X196" s="108">
        <v>0</v>
      </c>
      <c r="Y196" s="108">
        <v>0</v>
      </c>
      <c r="Z196" s="108">
        <v>0</v>
      </c>
      <c r="AA196" s="108">
        <v>0</v>
      </c>
      <c r="AB196" s="108">
        <v>0</v>
      </c>
      <c r="AC196" s="611">
        <v>0</v>
      </c>
    </row>
    <row r="197" spans="1:29" ht="34.15" customHeight="1">
      <c r="A197" s="999" t="str">
        <f>A194</f>
        <v xml:space="preserve">Office, Conference space </v>
      </c>
      <c r="B197" s="1026" t="s">
        <v>128</v>
      </c>
      <c r="C197" s="1034" t="s">
        <v>708</v>
      </c>
      <c r="D197" s="1031" t="s">
        <v>745</v>
      </c>
      <c r="E197" s="502" t="s">
        <v>517</v>
      </c>
      <c r="F197" s="80">
        <v>0.05</v>
      </c>
      <c r="G197" s="80">
        <v>0.05</v>
      </c>
      <c r="H197" s="80">
        <v>0.05</v>
      </c>
      <c r="I197" s="80">
        <v>0.05</v>
      </c>
      <c r="J197" s="80">
        <v>0.05</v>
      </c>
      <c r="K197" s="758">
        <v>0.1</v>
      </c>
      <c r="L197" s="758">
        <v>0.1</v>
      </c>
      <c r="M197" s="758">
        <v>0.3</v>
      </c>
      <c r="N197" s="758">
        <v>0.65</v>
      </c>
      <c r="O197" s="758">
        <v>0.65</v>
      </c>
      <c r="P197" s="758">
        <v>0.65</v>
      </c>
      <c r="Q197" s="758">
        <v>0.65</v>
      </c>
      <c r="R197" s="758">
        <v>0.65</v>
      </c>
      <c r="S197" s="758">
        <v>0.65</v>
      </c>
      <c r="T197" s="758">
        <v>0.65</v>
      </c>
      <c r="U197" s="758">
        <v>0.65</v>
      </c>
      <c r="V197" s="758">
        <v>0.65</v>
      </c>
      <c r="W197" s="758">
        <v>0.35</v>
      </c>
      <c r="X197" s="758">
        <v>0.3</v>
      </c>
      <c r="Y197" s="758">
        <v>0.3</v>
      </c>
      <c r="Z197" s="80">
        <v>0.2</v>
      </c>
      <c r="AA197" s="80">
        <v>0.2</v>
      </c>
      <c r="AB197" s="80">
        <v>0.1</v>
      </c>
      <c r="AC197" s="83">
        <v>0.05</v>
      </c>
    </row>
    <row r="198" spans="1:29" ht="34.15" customHeight="1">
      <c r="A198" s="1000"/>
      <c r="B198" s="1027"/>
      <c r="C198" s="1003"/>
      <c r="D198" s="1032"/>
      <c r="E198" s="503" t="s">
        <v>524</v>
      </c>
      <c r="F198" s="81">
        <v>0.05</v>
      </c>
      <c r="G198" s="81">
        <v>0.05</v>
      </c>
      <c r="H198" s="81">
        <v>0.05</v>
      </c>
      <c r="I198" s="81">
        <v>0.05</v>
      </c>
      <c r="J198" s="81">
        <v>0.05</v>
      </c>
      <c r="K198" s="678">
        <v>0.05</v>
      </c>
      <c r="L198" s="678">
        <v>0.05</v>
      </c>
      <c r="M198" s="678">
        <v>0.05</v>
      </c>
      <c r="N198" s="678">
        <v>0.05</v>
      </c>
      <c r="O198" s="678">
        <v>0.05</v>
      </c>
      <c r="P198" s="678">
        <v>0.05</v>
      </c>
      <c r="Q198" s="678">
        <v>0.05</v>
      </c>
      <c r="R198" s="678">
        <v>0.05</v>
      </c>
      <c r="S198" s="678">
        <v>0.05</v>
      </c>
      <c r="T198" s="678">
        <v>0.05</v>
      </c>
      <c r="U198" s="678">
        <v>0.05</v>
      </c>
      <c r="V198" s="678">
        <v>0.05</v>
      </c>
      <c r="W198" s="81">
        <v>0.05</v>
      </c>
      <c r="X198" s="81">
        <v>0.05</v>
      </c>
      <c r="Y198" s="81">
        <v>0.05</v>
      </c>
      <c r="Z198" s="81">
        <v>0.05</v>
      </c>
      <c r="AA198" s="81">
        <v>0.05</v>
      </c>
      <c r="AB198" s="81">
        <v>0.05</v>
      </c>
      <c r="AC198" s="84">
        <v>0.05</v>
      </c>
    </row>
    <row r="199" spans="1:29" ht="34.15" customHeight="1" thickBot="1">
      <c r="A199" s="1088"/>
      <c r="B199" s="1028"/>
      <c r="C199" s="1030"/>
      <c r="D199" s="1033"/>
      <c r="E199" s="517" t="s">
        <v>526</v>
      </c>
      <c r="F199" s="82">
        <v>0.05</v>
      </c>
      <c r="G199" s="82">
        <v>0.05</v>
      </c>
      <c r="H199" s="82">
        <v>0.05</v>
      </c>
      <c r="I199" s="82">
        <v>0.05</v>
      </c>
      <c r="J199" s="82">
        <v>0.05</v>
      </c>
      <c r="K199" s="82">
        <v>0.05</v>
      </c>
      <c r="L199" s="82">
        <v>0.05</v>
      </c>
      <c r="M199" s="82">
        <v>0.05</v>
      </c>
      <c r="N199" s="82">
        <v>0.05</v>
      </c>
      <c r="O199" s="82">
        <v>0.05</v>
      </c>
      <c r="P199" s="82">
        <v>0.05</v>
      </c>
      <c r="Q199" s="82">
        <v>0.05</v>
      </c>
      <c r="R199" s="82">
        <v>0.05</v>
      </c>
      <c r="S199" s="82">
        <v>0.05</v>
      </c>
      <c r="T199" s="82">
        <v>0.05</v>
      </c>
      <c r="U199" s="82">
        <v>0.05</v>
      </c>
      <c r="V199" s="82">
        <v>0.05</v>
      </c>
      <c r="W199" s="82">
        <v>0.05</v>
      </c>
      <c r="X199" s="82">
        <v>0.05</v>
      </c>
      <c r="Y199" s="82">
        <v>0.05</v>
      </c>
      <c r="Z199" s="82">
        <v>0.05</v>
      </c>
      <c r="AA199" s="82">
        <v>0.05</v>
      </c>
      <c r="AB199" s="82">
        <v>0.05</v>
      </c>
      <c r="AC199" s="85">
        <v>0.05</v>
      </c>
    </row>
    <row r="200" spans="1:29" ht="34.15" customHeight="1">
      <c r="A200" s="999" t="str">
        <f t="shared" ref="A200" si="28">A197</f>
        <v xml:space="preserve">Office, Conference space </v>
      </c>
      <c r="B200" s="1026" t="s">
        <v>128</v>
      </c>
      <c r="C200" s="1034" t="s">
        <v>746</v>
      </c>
      <c r="D200" s="1037" t="s">
        <v>747</v>
      </c>
      <c r="E200" s="502" t="s">
        <v>517</v>
      </c>
      <c r="F200" s="679">
        <v>0.45</v>
      </c>
      <c r="G200" s="679">
        <v>0.45</v>
      </c>
      <c r="H200" s="679">
        <v>0.45</v>
      </c>
      <c r="I200" s="679">
        <v>0.45</v>
      </c>
      <c r="J200" s="679">
        <v>0.45</v>
      </c>
      <c r="K200" s="679">
        <v>0.45</v>
      </c>
      <c r="L200" s="679">
        <v>0.45</v>
      </c>
      <c r="M200" s="679">
        <v>0.74</v>
      </c>
      <c r="N200" s="679">
        <v>0.87</v>
      </c>
      <c r="O200" s="679">
        <v>0.9</v>
      </c>
      <c r="P200" s="679">
        <v>0.9</v>
      </c>
      <c r="Q200" s="679">
        <v>0.9</v>
      </c>
      <c r="R200" s="679">
        <v>0.9</v>
      </c>
      <c r="S200" s="679">
        <v>0.9</v>
      </c>
      <c r="T200" s="679">
        <v>0.9</v>
      </c>
      <c r="U200" s="679">
        <v>0.9</v>
      </c>
      <c r="V200" s="679">
        <v>0.9</v>
      </c>
      <c r="W200" s="679">
        <v>0.7</v>
      </c>
      <c r="X200" s="679">
        <v>0.5</v>
      </c>
      <c r="Y200" s="679">
        <v>0.5</v>
      </c>
      <c r="Z200" s="679">
        <v>0.5</v>
      </c>
      <c r="AA200" s="679">
        <v>0.45</v>
      </c>
      <c r="AB200" s="679">
        <v>0.45</v>
      </c>
      <c r="AC200" s="680">
        <v>0.45</v>
      </c>
    </row>
    <row r="201" spans="1:29" ht="34.15" customHeight="1">
      <c r="A201" s="1000"/>
      <c r="B201" s="1027"/>
      <c r="C201" s="1003"/>
      <c r="D201" s="1038"/>
      <c r="E201" s="503" t="s">
        <v>524</v>
      </c>
      <c r="F201" s="599">
        <v>0.43</v>
      </c>
      <c r="G201" s="599">
        <v>0.43</v>
      </c>
      <c r="H201" s="599">
        <v>0.43</v>
      </c>
      <c r="I201" s="599">
        <v>0.43</v>
      </c>
      <c r="J201" s="599">
        <v>0.43</v>
      </c>
      <c r="K201" s="599">
        <v>0.43</v>
      </c>
      <c r="L201" s="599">
        <v>0.43</v>
      </c>
      <c r="M201" s="599">
        <v>0.43</v>
      </c>
      <c r="N201" s="599">
        <v>0.43</v>
      </c>
      <c r="O201" s="599">
        <v>0.43</v>
      </c>
      <c r="P201" s="599">
        <v>0.43</v>
      </c>
      <c r="Q201" s="599">
        <v>0.43</v>
      </c>
      <c r="R201" s="599">
        <v>0.43</v>
      </c>
      <c r="S201" s="599">
        <v>0.43</v>
      </c>
      <c r="T201" s="599">
        <v>0.43</v>
      </c>
      <c r="U201" s="599">
        <v>0.43</v>
      </c>
      <c r="V201" s="599">
        <v>0.43</v>
      </c>
      <c r="W201" s="599">
        <v>0.43</v>
      </c>
      <c r="X201" s="599">
        <v>0.43</v>
      </c>
      <c r="Y201" s="599">
        <v>0.43</v>
      </c>
      <c r="Z201" s="599">
        <v>0.43</v>
      </c>
      <c r="AA201" s="599">
        <v>0.43</v>
      </c>
      <c r="AB201" s="599">
        <v>0.43</v>
      </c>
      <c r="AC201" s="681">
        <v>0.43</v>
      </c>
    </row>
    <row r="202" spans="1:29" ht="34.15" customHeight="1" thickBot="1">
      <c r="A202" s="1088"/>
      <c r="B202" s="1028"/>
      <c r="C202" s="1036"/>
      <c r="D202" s="1039"/>
      <c r="E202" s="504" t="s">
        <v>526</v>
      </c>
      <c r="F202" s="682">
        <v>0.43</v>
      </c>
      <c r="G202" s="682">
        <v>0.43</v>
      </c>
      <c r="H202" s="682">
        <v>0.43</v>
      </c>
      <c r="I202" s="682">
        <v>0.43</v>
      </c>
      <c r="J202" s="682">
        <v>0.43</v>
      </c>
      <c r="K202" s="682">
        <v>0.43</v>
      </c>
      <c r="L202" s="682">
        <v>0.43</v>
      </c>
      <c r="M202" s="682">
        <v>0.43</v>
      </c>
      <c r="N202" s="682">
        <v>0.43</v>
      </c>
      <c r="O202" s="682">
        <v>0.43</v>
      </c>
      <c r="P202" s="682">
        <v>0.43</v>
      </c>
      <c r="Q202" s="682">
        <v>0.43</v>
      </c>
      <c r="R202" s="682">
        <v>0.43</v>
      </c>
      <c r="S202" s="682">
        <v>0.43</v>
      </c>
      <c r="T202" s="682">
        <v>0.43</v>
      </c>
      <c r="U202" s="682">
        <v>0.43</v>
      </c>
      <c r="V202" s="682">
        <v>0.43</v>
      </c>
      <c r="W202" s="682">
        <v>0.43</v>
      </c>
      <c r="X202" s="682">
        <v>0.43</v>
      </c>
      <c r="Y202" s="682">
        <v>0.43</v>
      </c>
      <c r="Z202" s="682">
        <v>0.43</v>
      </c>
      <c r="AA202" s="682">
        <v>0.43</v>
      </c>
      <c r="AB202" s="682">
        <v>0.43</v>
      </c>
      <c r="AC202" s="683">
        <v>0.43</v>
      </c>
    </row>
    <row r="203" spans="1:29" ht="23.45" customHeight="1">
      <c r="A203" s="999" t="str">
        <f>A194</f>
        <v xml:space="preserve">Office, Conference space </v>
      </c>
      <c r="B203" s="1026" t="s">
        <v>128</v>
      </c>
      <c r="C203" s="1029" t="s">
        <v>711</v>
      </c>
      <c r="D203" s="1031" t="s">
        <v>748</v>
      </c>
      <c r="E203" s="505" t="s">
        <v>517</v>
      </c>
      <c r="F203" s="621">
        <v>0</v>
      </c>
      <c r="G203" s="621">
        <v>0</v>
      </c>
      <c r="H203" s="621">
        <v>0</v>
      </c>
      <c r="I203" s="621">
        <v>0</v>
      </c>
      <c r="J203" s="621">
        <v>0</v>
      </c>
      <c r="K203" s="621">
        <v>1</v>
      </c>
      <c r="L203" s="621">
        <v>1</v>
      </c>
      <c r="M203" s="621">
        <v>1</v>
      </c>
      <c r="N203" s="621">
        <v>1</v>
      </c>
      <c r="O203" s="621">
        <v>1</v>
      </c>
      <c r="P203" s="621">
        <v>1</v>
      </c>
      <c r="Q203" s="621">
        <v>1</v>
      </c>
      <c r="R203" s="621">
        <v>1</v>
      </c>
      <c r="S203" s="621">
        <v>1</v>
      </c>
      <c r="T203" s="621">
        <v>1</v>
      </c>
      <c r="U203" s="621">
        <v>1</v>
      </c>
      <c r="V203" s="621">
        <v>1</v>
      </c>
      <c r="W203" s="621">
        <v>1</v>
      </c>
      <c r="X203" s="621">
        <v>1</v>
      </c>
      <c r="Y203" s="621">
        <v>1</v>
      </c>
      <c r="Z203" s="621">
        <v>1</v>
      </c>
      <c r="AA203" s="621">
        <v>1</v>
      </c>
      <c r="AB203" s="621">
        <v>1</v>
      </c>
      <c r="AC203" s="623">
        <v>1</v>
      </c>
    </row>
    <row r="204" spans="1:29" ht="34.15" customHeight="1">
      <c r="A204" s="1000"/>
      <c r="B204" s="1027"/>
      <c r="C204" s="1003"/>
      <c r="D204" s="1032"/>
      <c r="E204" s="503" t="s">
        <v>524</v>
      </c>
      <c r="F204" s="81">
        <v>0</v>
      </c>
      <c r="G204" s="81">
        <v>0</v>
      </c>
      <c r="H204" s="81">
        <v>0</v>
      </c>
      <c r="I204" s="81">
        <v>0</v>
      </c>
      <c r="J204" s="81">
        <v>0</v>
      </c>
      <c r="K204" s="678">
        <v>0</v>
      </c>
      <c r="L204" s="678">
        <v>0</v>
      </c>
      <c r="M204" s="678">
        <v>0</v>
      </c>
      <c r="N204" s="678">
        <v>0</v>
      </c>
      <c r="O204" s="678">
        <v>0</v>
      </c>
      <c r="P204" s="678">
        <v>0</v>
      </c>
      <c r="Q204" s="678">
        <v>0</v>
      </c>
      <c r="R204" s="678">
        <v>0</v>
      </c>
      <c r="S204" s="678">
        <v>0</v>
      </c>
      <c r="T204" s="678">
        <v>0</v>
      </c>
      <c r="U204" s="678">
        <v>0</v>
      </c>
      <c r="V204" s="678">
        <v>0</v>
      </c>
      <c r="W204" s="678">
        <v>0</v>
      </c>
      <c r="X204" s="678">
        <v>0</v>
      </c>
      <c r="Y204" s="81">
        <v>0</v>
      </c>
      <c r="Z204" s="81">
        <v>0</v>
      </c>
      <c r="AA204" s="81">
        <v>0</v>
      </c>
      <c r="AB204" s="81">
        <v>0</v>
      </c>
      <c r="AC204" s="84">
        <v>0</v>
      </c>
    </row>
    <row r="205" spans="1:29" ht="34.15" customHeight="1" thickBot="1">
      <c r="A205" s="1088"/>
      <c r="B205" s="1028"/>
      <c r="C205" s="1036"/>
      <c r="D205" s="1033"/>
      <c r="E205" s="504" t="s">
        <v>526</v>
      </c>
      <c r="F205" s="82">
        <v>0</v>
      </c>
      <c r="G205" s="82">
        <v>0</v>
      </c>
      <c r="H205" s="82">
        <v>0</v>
      </c>
      <c r="I205" s="82">
        <v>0</v>
      </c>
      <c r="J205" s="82">
        <v>0</v>
      </c>
      <c r="K205" s="82">
        <v>0</v>
      </c>
      <c r="L205" s="82">
        <v>0</v>
      </c>
      <c r="M205" s="82">
        <v>0</v>
      </c>
      <c r="N205" s="82">
        <v>0</v>
      </c>
      <c r="O205" s="82">
        <v>0</v>
      </c>
      <c r="P205" s="82">
        <v>0</v>
      </c>
      <c r="Q205" s="82">
        <v>0</v>
      </c>
      <c r="R205" s="82">
        <v>0</v>
      </c>
      <c r="S205" s="82">
        <v>0</v>
      </c>
      <c r="T205" s="82">
        <v>0</v>
      </c>
      <c r="U205" s="82">
        <v>0</v>
      </c>
      <c r="V205" s="82">
        <v>0</v>
      </c>
      <c r="W205" s="82">
        <v>0</v>
      </c>
      <c r="X205" s="82">
        <v>0</v>
      </c>
      <c r="Y205" s="82">
        <v>0</v>
      </c>
      <c r="Z205" s="82">
        <v>0</v>
      </c>
      <c r="AA205" s="82">
        <v>0</v>
      </c>
      <c r="AB205" s="82">
        <v>0</v>
      </c>
      <c r="AC205" s="85">
        <v>0</v>
      </c>
    </row>
    <row r="206" spans="1:29" ht="34.15" customHeight="1">
      <c r="A206" s="999" t="str">
        <f>A194</f>
        <v xml:space="preserve">Office, Conference space </v>
      </c>
      <c r="B206" s="1026" t="s">
        <v>128</v>
      </c>
      <c r="C206" s="1029" t="s">
        <v>713</v>
      </c>
      <c r="D206" s="1031" t="s">
        <v>745</v>
      </c>
      <c r="E206" s="505" t="s">
        <v>517</v>
      </c>
      <c r="F206" s="518">
        <v>0.05</v>
      </c>
      <c r="G206" s="518">
        <v>0.05</v>
      </c>
      <c r="H206" s="518">
        <v>0.05</v>
      </c>
      <c r="I206" s="518">
        <v>0.05</v>
      </c>
      <c r="J206" s="518">
        <v>0.05</v>
      </c>
      <c r="K206" s="518">
        <v>0.08</v>
      </c>
      <c r="L206" s="518">
        <v>7.0000000000000007E-2</v>
      </c>
      <c r="M206" s="518">
        <v>0.19</v>
      </c>
      <c r="N206" s="518">
        <v>0.35</v>
      </c>
      <c r="O206" s="518">
        <v>0.38</v>
      </c>
      <c r="P206" s="518">
        <v>0.39</v>
      </c>
      <c r="Q206" s="518">
        <v>0.47</v>
      </c>
      <c r="R206" s="518">
        <v>0.56999999999999995</v>
      </c>
      <c r="S206" s="518">
        <v>0.54</v>
      </c>
      <c r="T206" s="518">
        <v>0.34</v>
      </c>
      <c r="U206" s="518">
        <v>0.33</v>
      </c>
      <c r="V206" s="518">
        <v>0.44</v>
      </c>
      <c r="W206" s="518">
        <v>0.26</v>
      </c>
      <c r="X206" s="518">
        <v>0.21</v>
      </c>
      <c r="Y206" s="518">
        <v>0.15</v>
      </c>
      <c r="Z206" s="518">
        <v>0.17</v>
      </c>
      <c r="AA206" s="518">
        <v>0.08</v>
      </c>
      <c r="AB206" s="518">
        <v>0.05</v>
      </c>
      <c r="AC206" s="519">
        <v>0.05</v>
      </c>
    </row>
    <row r="207" spans="1:29" ht="34.15" customHeight="1">
      <c r="A207" s="1000"/>
      <c r="B207" s="1027"/>
      <c r="C207" s="1003"/>
      <c r="D207" s="1032"/>
      <c r="E207" s="503" t="s">
        <v>524</v>
      </c>
      <c r="F207" s="496">
        <v>0.05</v>
      </c>
      <c r="G207" s="496">
        <v>0.05</v>
      </c>
      <c r="H207" s="496">
        <v>0.05</v>
      </c>
      <c r="I207" s="496">
        <v>0.05</v>
      </c>
      <c r="J207" s="496">
        <v>0.05</v>
      </c>
      <c r="K207" s="496">
        <v>0.08</v>
      </c>
      <c r="L207" s="496">
        <v>7.0000000000000007E-2</v>
      </c>
      <c r="M207" s="496">
        <v>0.11</v>
      </c>
      <c r="N207" s="496">
        <v>0.15</v>
      </c>
      <c r="O207" s="496">
        <v>0.21</v>
      </c>
      <c r="P207" s="496">
        <v>0.19</v>
      </c>
      <c r="Q207" s="496">
        <v>0.23</v>
      </c>
      <c r="R207" s="496">
        <v>0.2</v>
      </c>
      <c r="S207" s="496">
        <v>0.19</v>
      </c>
      <c r="T207" s="496">
        <v>0.15</v>
      </c>
      <c r="U207" s="496">
        <v>0.12</v>
      </c>
      <c r="V207" s="496">
        <v>0.14000000000000001</v>
      </c>
      <c r="W207" s="496">
        <v>7.0000000000000007E-2</v>
      </c>
      <c r="X207" s="496">
        <v>7.0000000000000007E-2</v>
      </c>
      <c r="Y207" s="496">
        <v>7.0000000000000007E-2</v>
      </c>
      <c r="Z207" s="496">
        <v>7.0000000000000007E-2</v>
      </c>
      <c r="AA207" s="496">
        <v>0.09</v>
      </c>
      <c r="AB207" s="496">
        <v>0.05</v>
      </c>
      <c r="AC207" s="499">
        <v>0.05</v>
      </c>
    </row>
    <row r="208" spans="1:29" ht="34.15" customHeight="1" thickBot="1">
      <c r="A208" s="1088"/>
      <c r="B208" s="1028"/>
      <c r="C208" s="1036"/>
      <c r="D208" s="1033"/>
      <c r="E208" s="504" t="s">
        <v>526</v>
      </c>
      <c r="F208" s="500">
        <v>0.04</v>
      </c>
      <c r="G208" s="500">
        <v>0.04</v>
      </c>
      <c r="H208" s="500">
        <v>0.04</v>
      </c>
      <c r="I208" s="500">
        <v>0.04</v>
      </c>
      <c r="J208" s="500">
        <v>0.04</v>
      </c>
      <c r="K208" s="500">
        <v>7.0000000000000007E-2</v>
      </c>
      <c r="L208" s="500">
        <v>0.04</v>
      </c>
      <c r="M208" s="500">
        <v>0.04</v>
      </c>
      <c r="N208" s="500">
        <v>0.04</v>
      </c>
      <c r="O208" s="500">
        <v>0.04</v>
      </c>
      <c r="P208" s="500">
        <v>0.04</v>
      </c>
      <c r="Q208" s="500">
        <v>0.06</v>
      </c>
      <c r="R208" s="500">
        <v>0.06</v>
      </c>
      <c r="S208" s="500">
        <v>0.09</v>
      </c>
      <c r="T208" s="500">
        <v>0.06</v>
      </c>
      <c r="U208" s="500">
        <v>0.04</v>
      </c>
      <c r="V208" s="500">
        <v>0.04</v>
      </c>
      <c r="W208" s="500">
        <v>0.04</v>
      </c>
      <c r="X208" s="500">
        <v>0.04</v>
      </c>
      <c r="Y208" s="500">
        <v>0.04</v>
      </c>
      <c r="Z208" s="500">
        <v>0.04</v>
      </c>
      <c r="AA208" s="500">
        <v>7.0000000000000007E-2</v>
      </c>
      <c r="AB208" s="500">
        <v>0.04</v>
      </c>
      <c r="AC208" s="501">
        <v>0.04</v>
      </c>
    </row>
    <row r="209" spans="1:37" ht="34.15" customHeight="1">
      <c r="A209" s="999" t="str">
        <f>A194</f>
        <v xml:space="preserve">Office, Conference space </v>
      </c>
      <c r="B209" s="1026" t="s">
        <v>128</v>
      </c>
      <c r="C209" s="1034" t="s">
        <v>308</v>
      </c>
      <c r="D209" s="1031" t="s">
        <v>748</v>
      </c>
      <c r="E209" s="502" t="s">
        <v>517</v>
      </c>
      <c r="F209" s="621">
        <v>1</v>
      </c>
      <c r="G209" s="621">
        <v>1</v>
      </c>
      <c r="H209" s="621">
        <v>1</v>
      </c>
      <c r="I209" s="621">
        <v>1</v>
      </c>
      <c r="J209" s="621">
        <v>1</v>
      </c>
      <c r="K209" s="621">
        <v>0.25</v>
      </c>
      <c r="L209" s="621">
        <v>0.25</v>
      </c>
      <c r="M209" s="621">
        <v>0.25</v>
      </c>
      <c r="N209" s="621">
        <v>0.25</v>
      </c>
      <c r="O209" s="621">
        <v>0.25</v>
      </c>
      <c r="P209" s="621">
        <v>0.25</v>
      </c>
      <c r="Q209" s="621">
        <v>0.25</v>
      </c>
      <c r="R209" s="621">
        <v>0.25</v>
      </c>
      <c r="S209" s="621">
        <v>0.25</v>
      </c>
      <c r="T209" s="621">
        <v>0.25</v>
      </c>
      <c r="U209" s="621">
        <v>0.25</v>
      </c>
      <c r="V209" s="621">
        <v>0.25</v>
      </c>
      <c r="W209" s="621">
        <v>0.25</v>
      </c>
      <c r="X209" s="621">
        <v>0.25</v>
      </c>
      <c r="Y209" s="621">
        <v>0.25</v>
      </c>
      <c r="Z209" s="621">
        <v>0.25</v>
      </c>
      <c r="AA209" s="621">
        <v>0.25</v>
      </c>
      <c r="AB209" s="621">
        <v>0.25</v>
      </c>
      <c r="AC209" s="623">
        <v>0.25</v>
      </c>
    </row>
    <row r="210" spans="1:37" ht="34.15" customHeight="1">
      <c r="A210" s="1000"/>
      <c r="B210" s="1027"/>
      <c r="C210" s="1003"/>
      <c r="D210" s="1032"/>
      <c r="E210" s="503" t="s">
        <v>524</v>
      </c>
      <c r="F210" s="81">
        <v>1</v>
      </c>
      <c r="G210" s="81">
        <v>1</v>
      </c>
      <c r="H210" s="81">
        <v>1</v>
      </c>
      <c r="I210" s="81">
        <v>1</v>
      </c>
      <c r="J210" s="81">
        <v>1</v>
      </c>
      <c r="K210" s="678">
        <v>1</v>
      </c>
      <c r="L210" s="678">
        <v>1</v>
      </c>
      <c r="M210" s="678">
        <v>1</v>
      </c>
      <c r="N210" s="678">
        <v>1</v>
      </c>
      <c r="O210" s="678">
        <v>1</v>
      </c>
      <c r="P210" s="678">
        <v>1</v>
      </c>
      <c r="Q210" s="678">
        <v>1</v>
      </c>
      <c r="R210" s="678">
        <v>1</v>
      </c>
      <c r="S210" s="678">
        <v>1</v>
      </c>
      <c r="T210" s="678">
        <v>1</v>
      </c>
      <c r="U210" s="678">
        <v>1</v>
      </c>
      <c r="V210" s="678">
        <v>1</v>
      </c>
      <c r="W210" s="678">
        <v>1</v>
      </c>
      <c r="X210" s="678">
        <v>1</v>
      </c>
      <c r="Y210" s="81">
        <v>1</v>
      </c>
      <c r="Z210" s="81">
        <v>1</v>
      </c>
      <c r="AA210" s="81">
        <v>1</v>
      </c>
      <c r="AB210" s="81">
        <v>1</v>
      </c>
      <c r="AC210" s="84">
        <v>1</v>
      </c>
    </row>
    <row r="211" spans="1:37" ht="34.15" customHeight="1" thickBot="1">
      <c r="A211" s="1088"/>
      <c r="B211" s="1028"/>
      <c r="C211" s="1030"/>
      <c r="D211" s="1033"/>
      <c r="E211" s="517" t="s">
        <v>526</v>
      </c>
      <c r="F211" s="108">
        <v>1</v>
      </c>
      <c r="G211" s="108">
        <v>1</v>
      </c>
      <c r="H211" s="108">
        <v>1</v>
      </c>
      <c r="I211" s="108">
        <v>1</v>
      </c>
      <c r="J211" s="108">
        <v>1</v>
      </c>
      <c r="K211" s="108">
        <v>1</v>
      </c>
      <c r="L211" s="108">
        <v>1</v>
      </c>
      <c r="M211" s="108">
        <v>1</v>
      </c>
      <c r="N211" s="108">
        <v>1</v>
      </c>
      <c r="O211" s="108">
        <v>1</v>
      </c>
      <c r="P211" s="108">
        <v>1</v>
      </c>
      <c r="Q211" s="108">
        <v>1</v>
      </c>
      <c r="R211" s="108">
        <v>1</v>
      </c>
      <c r="S211" s="108">
        <v>1</v>
      </c>
      <c r="T211" s="108">
        <v>1</v>
      </c>
      <c r="U211" s="108">
        <v>1</v>
      </c>
      <c r="V211" s="108">
        <v>1</v>
      </c>
      <c r="W211" s="108">
        <v>1</v>
      </c>
      <c r="X211" s="108">
        <v>1</v>
      </c>
      <c r="Y211" s="108">
        <v>1</v>
      </c>
      <c r="Z211" s="108">
        <v>1</v>
      </c>
      <c r="AA211" s="108">
        <v>1</v>
      </c>
      <c r="AB211" s="108">
        <v>1</v>
      </c>
      <c r="AC211" s="611">
        <v>1</v>
      </c>
    </row>
    <row r="212" spans="1:37" ht="34.15" customHeight="1">
      <c r="A212" s="999" t="str">
        <f>A194</f>
        <v xml:space="preserve">Office, Conference space </v>
      </c>
      <c r="B212" s="1026" t="s">
        <v>128</v>
      </c>
      <c r="C212" s="1068" t="s">
        <v>715</v>
      </c>
      <c r="D212" s="1071" t="s">
        <v>726</v>
      </c>
      <c r="E212" s="687" t="s">
        <v>517</v>
      </c>
      <c r="F212" s="684">
        <f>IF((F203=1),Thermostat!$B$3,Thermostat!$B$4)</f>
        <v>60</v>
      </c>
      <c r="G212" s="684">
        <f>IF((G203=1),Thermostat!$B$3,Thermostat!$B$4)</f>
        <v>60</v>
      </c>
      <c r="H212" s="684">
        <f>IF((H203=1),Thermostat!$B$3,Thermostat!$B$4)</f>
        <v>60</v>
      </c>
      <c r="I212" s="684">
        <f>IF((I203=1),Thermostat!$B$3,Thermostat!$B$4)</f>
        <v>60</v>
      </c>
      <c r="J212" s="684">
        <f>IF((J203=1),Thermostat!$B$3,Thermostat!$B$4)</f>
        <v>60</v>
      </c>
      <c r="K212" s="684">
        <f>IF((K203=1),Thermostat!$B$3,Thermostat!$B$4)</f>
        <v>70</v>
      </c>
      <c r="L212" s="684">
        <f>IF((L203=1),Thermostat!$B$3,Thermostat!$B$4)</f>
        <v>70</v>
      </c>
      <c r="M212" s="684">
        <f>IF((M203=1),Thermostat!$B$3,Thermostat!$B$4)</f>
        <v>70</v>
      </c>
      <c r="N212" s="684">
        <f>IF((N203=1),Thermostat!$B$3,Thermostat!$B$4)</f>
        <v>70</v>
      </c>
      <c r="O212" s="684">
        <f>IF((O203=1),Thermostat!$B$3,Thermostat!$B$4)</f>
        <v>70</v>
      </c>
      <c r="P212" s="684">
        <f>IF((P203=1),Thermostat!$B$3,Thermostat!$B$4)</f>
        <v>70</v>
      </c>
      <c r="Q212" s="684">
        <f>IF((Q203=1),Thermostat!$B$3,Thermostat!$B$4)</f>
        <v>70</v>
      </c>
      <c r="R212" s="684">
        <f>IF((R203=1),Thermostat!$B$3,Thermostat!$B$4)</f>
        <v>70</v>
      </c>
      <c r="S212" s="684">
        <f>IF((S203=1),Thermostat!$B$3,Thermostat!$B$4)</f>
        <v>70</v>
      </c>
      <c r="T212" s="684">
        <f>IF((T203=1),Thermostat!$B$3,Thermostat!$B$4)</f>
        <v>70</v>
      </c>
      <c r="U212" s="684">
        <f>IF((U203=1),Thermostat!$B$3,Thermostat!$B$4)</f>
        <v>70</v>
      </c>
      <c r="V212" s="684">
        <f>IF((V203=1),Thermostat!$B$3,Thermostat!$B$4)</f>
        <v>70</v>
      </c>
      <c r="W212" s="684">
        <f>IF((W203=1),Thermostat!$B$3,Thermostat!$B$4)</f>
        <v>70</v>
      </c>
      <c r="X212" s="684">
        <f>IF((X203=1),Thermostat!$B$3,Thermostat!$B$4)</f>
        <v>70</v>
      </c>
      <c r="Y212" s="684">
        <f>IF((Y203=1),Thermostat!$B$3,Thermostat!$B$4)</f>
        <v>70</v>
      </c>
      <c r="Z212" s="684">
        <f>IF((Z203=1),Thermostat!$B$3,Thermostat!$B$4)</f>
        <v>70</v>
      </c>
      <c r="AA212" s="684">
        <f>IF((AA203=1),Thermostat!$B$3,Thermostat!$B$4)</f>
        <v>70</v>
      </c>
      <c r="AB212" s="684">
        <f>IF((AB203=1),Thermostat!$B$3,Thermostat!$B$4)</f>
        <v>70</v>
      </c>
      <c r="AC212" s="685">
        <f>IF((AC203=1),Thermostat!$B$3,Thermostat!$B$4)</f>
        <v>70</v>
      </c>
    </row>
    <row r="213" spans="1:37" ht="34.15" customHeight="1">
      <c r="A213" s="1000"/>
      <c r="B213" s="1027"/>
      <c r="C213" s="1069"/>
      <c r="D213" s="1072"/>
      <c r="E213" s="688" t="s">
        <v>524</v>
      </c>
      <c r="F213" s="532">
        <f>IF((F204=1),Thermostat!$B$3,Thermostat!$B$4)</f>
        <v>60</v>
      </c>
      <c r="G213" s="532">
        <f>IF((G204=1),Thermostat!$B$3,Thermostat!$B$4)</f>
        <v>60</v>
      </c>
      <c r="H213" s="532">
        <f>IF((H204=1),Thermostat!$B$3,Thermostat!$B$4)</f>
        <v>60</v>
      </c>
      <c r="I213" s="532">
        <f>IF((I204=1),Thermostat!$B$3,Thermostat!$B$4)</f>
        <v>60</v>
      </c>
      <c r="J213" s="532">
        <f>IF((J204=1),Thermostat!$B$3,Thermostat!$B$4)</f>
        <v>60</v>
      </c>
      <c r="K213" s="532">
        <f>IF((K204=1),Thermostat!$B$3,Thermostat!$B$4)</f>
        <v>60</v>
      </c>
      <c r="L213" s="532">
        <f>IF((L204=1),Thermostat!$B$3,Thermostat!$B$4)</f>
        <v>60</v>
      </c>
      <c r="M213" s="532">
        <f>IF((M204=1),Thermostat!$B$3,Thermostat!$B$4)</f>
        <v>60</v>
      </c>
      <c r="N213" s="532">
        <f>IF((N204=1),Thermostat!$B$3,Thermostat!$B$4)</f>
        <v>60</v>
      </c>
      <c r="O213" s="532">
        <f>IF((O204=1),Thermostat!$B$3,Thermostat!$B$4)</f>
        <v>60</v>
      </c>
      <c r="P213" s="532">
        <f>IF((P204=1),Thermostat!$B$3,Thermostat!$B$4)</f>
        <v>60</v>
      </c>
      <c r="Q213" s="532">
        <f>IF((Q204=1),Thermostat!$B$3,Thermostat!$B$4)</f>
        <v>60</v>
      </c>
      <c r="R213" s="532">
        <f>IF((R204=1),Thermostat!$B$3,Thermostat!$B$4)</f>
        <v>60</v>
      </c>
      <c r="S213" s="532">
        <f>IF((S204=1),Thermostat!$B$3,Thermostat!$B$4)</f>
        <v>60</v>
      </c>
      <c r="T213" s="532">
        <f>IF((T204=1),Thermostat!$B$3,Thermostat!$B$4)</f>
        <v>60</v>
      </c>
      <c r="U213" s="532">
        <f>IF((U204=1),Thermostat!$B$3,Thermostat!$B$4)</f>
        <v>60</v>
      </c>
      <c r="V213" s="532">
        <f>IF((V204=1),Thermostat!$B$3,Thermostat!$B$4)</f>
        <v>60</v>
      </c>
      <c r="W213" s="532">
        <f>IF((W204=1),Thermostat!$B$3,Thermostat!$B$4)</f>
        <v>60</v>
      </c>
      <c r="X213" s="532">
        <f>IF((X204=1),Thermostat!$B$3,Thermostat!$B$4)</f>
        <v>60</v>
      </c>
      <c r="Y213" s="532">
        <f>IF((Y204=1),Thermostat!$B$3,Thermostat!$B$4)</f>
        <v>60</v>
      </c>
      <c r="Z213" s="532">
        <f>IF((Z204=1),Thermostat!$B$3,Thermostat!$B$4)</f>
        <v>60</v>
      </c>
      <c r="AA213" s="532">
        <f>IF((AA204=1),Thermostat!$B$3,Thermostat!$B$4)</f>
        <v>60</v>
      </c>
      <c r="AB213" s="532">
        <f>IF((AB204=1),Thermostat!$B$3,Thermostat!$B$4)</f>
        <v>60</v>
      </c>
      <c r="AC213" s="667">
        <f>IF((AC204=1),Thermostat!$B$3,Thermostat!$B$4)</f>
        <v>60</v>
      </c>
    </row>
    <row r="214" spans="1:37" ht="34.15" customHeight="1" thickBot="1">
      <c r="A214" s="1088"/>
      <c r="B214" s="1028"/>
      <c r="C214" s="1070"/>
      <c r="D214" s="1073"/>
      <c r="E214" s="689" t="s">
        <v>526</v>
      </c>
      <c r="F214" s="669">
        <f>IF((F205=1),Thermostat!$B$3,Thermostat!$B$4)</f>
        <v>60</v>
      </c>
      <c r="G214" s="669">
        <f>IF((G205=1),Thermostat!$B$3,Thermostat!$B$4)</f>
        <v>60</v>
      </c>
      <c r="H214" s="669">
        <f>IF((H205=1),Thermostat!$B$3,Thermostat!$B$4)</f>
        <v>60</v>
      </c>
      <c r="I214" s="669">
        <f>IF((I205=1),Thermostat!$B$3,Thermostat!$B$4)</f>
        <v>60</v>
      </c>
      <c r="J214" s="669">
        <f>IF((J205=1),Thermostat!$B$3,Thermostat!$B$4)</f>
        <v>60</v>
      </c>
      <c r="K214" s="669">
        <f>IF((K205=1),Thermostat!$B$3,Thermostat!$B$4)</f>
        <v>60</v>
      </c>
      <c r="L214" s="669">
        <f>IF((L205=1),Thermostat!$B$3,Thermostat!$B$4)</f>
        <v>60</v>
      </c>
      <c r="M214" s="669">
        <f>IF((M205=1),Thermostat!$B$3,Thermostat!$B$4)</f>
        <v>60</v>
      </c>
      <c r="N214" s="669">
        <f>IF((N205=1),Thermostat!$B$3,Thermostat!$B$4)</f>
        <v>60</v>
      </c>
      <c r="O214" s="669">
        <f>IF((O205=1),Thermostat!$B$3,Thermostat!$B$4)</f>
        <v>60</v>
      </c>
      <c r="P214" s="669">
        <f>IF((P205=1),Thermostat!$B$3,Thermostat!$B$4)</f>
        <v>60</v>
      </c>
      <c r="Q214" s="669">
        <f>IF((Q205=1),Thermostat!$B$3,Thermostat!$B$4)</f>
        <v>60</v>
      </c>
      <c r="R214" s="669">
        <f>IF((R205=1),Thermostat!$B$3,Thermostat!$B$4)</f>
        <v>60</v>
      </c>
      <c r="S214" s="669">
        <f>IF((S205=1),Thermostat!$B$3,Thermostat!$B$4)</f>
        <v>60</v>
      </c>
      <c r="T214" s="669">
        <f>IF((T205=1),Thermostat!$B$3,Thermostat!$B$4)</f>
        <v>60</v>
      </c>
      <c r="U214" s="669">
        <f>IF((U205=1),Thermostat!$B$3,Thermostat!$B$4)</f>
        <v>60</v>
      </c>
      <c r="V214" s="669">
        <f>IF((V205=1),Thermostat!$B$3,Thermostat!$B$4)</f>
        <v>60</v>
      </c>
      <c r="W214" s="669">
        <f>IF((W205=1),Thermostat!$B$3,Thermostat!$B$4)</f>
        <v>60</v>
      </c>
      <c r="X214" s="669">
        <f>IF((X205=1),Thermostat!$B$3,Thermostat!$B$4)</f>
        <v>60</v>
      </c>
      <c r="Y214" s="669">
        <f>IF((Y205=1),Thermostat!$B$3,Thermostat!$B$4)</f>
        <v>60</v>
      </c>
      <c r="Z214" s="669">
        <f>IF((Z205=1),Thermostat!$B$3,Thermostat!$B$4)</f>
        <v>60</v>
      </c>
      <c r="AA214" s="669">
        <f>IF((AA205=1),Thermostat!$B$3,Thermostat!$B$4)</f>
        <v>60</v>
      </c>
      <c r="AB214" s="669">
        <f>IF((AB205=1),Thermostat!$B$3,Thermostat!$B$4)</f>
        <v>60</v>
      </c>
      <c r="AC214" s="670">
        <f>IF((AC205=1),Thermostat!$B$3,Thermostat!$B$4)</f>
        <v>60</v>
      </c>
    </row>
    <row r="215" spans="1:37" ht="34.15" customHeight="1">
      <c r="A215" s="999" t="str">
        <f>A194</f>
        <v xml:space="preserve">Office, Conference space </v>
      </c>
      <c r="B215" s="1026" t="s">
        <v>128</v>
      </c>
      <c r="C215" s="1068" t="s">
        <v>716</v>
      </c>
      <c r="D215" s="1071" t="s">
        <v>726</v>
      </c>
      <c r="E215" s="690" t="s">
        <v>517</v>
      </c>
      <c r="F215" s="556">
        <f>IF((F203=1),Thermostat!$B$5,Thermostat!$B$6)</f>
        <v>85</v>
      </c>
      <c r="G215" s="556">
        <f>IF((G203=1),Thermostat!$B$5,Thermostat!$B$6)</f>
        <v>85</v>
      </c>
      <c r="H215" s="556">
        <f>IF((H203=1),Thermostat!$B$5,Thermostat!$B$6)</f>
        <v>85</v>
      </c>
      <c r="I215" s="556">
        <f>IF((I203=1),Thermostat!$B$5,Thermostat!$B$6)</f>
        <v>85</v>
      </c>
      <c r="J215" s="556">
        <f>IF((J203=1),Thermostat!$B$5,Thermostat!$B$6)</f>
        <v>85</v>
      </c>
      <c r="K215" s="556">
        <f>IF((K203=1),Thermostat!$B$5,Thermostat!$B$6)</f>
        <v>75</v>
      </c>
      <c r="L215" s="556">
        <f>IF((L203=1),Thermostat!$B$5,Thermostat!$B$6)</f>
        <v>75</v>
      </c>
      <c r="M215" s="556">
        <f>IF((M203=1),Thermostat!$B$5,Thermostat!$B$6)</f>
        <v>75</v>
      </c>
      <c r="N215" s="556">
        <f>IF((N203=1),Thermostat!$B$5,Thermostat!$B$6)</f>
        <v>75</v>
      </c>
      <c r="O215" s="556">
        <f>IF((O203=1),Thermostat!$B$5,Thermostat!$B$6)</f>
        <v>75</v>
      </c>
      <c r="P215" s="556">
        <f>IF((P203=1),Thermostat!$B$5,Thermostat!$B$6)</f>
        <v>75</v>
      </c>
      <c r="Q215" s="556">
        <f>IF((Q203=1),Thermostat!$B$5,Thermostat!$B$6)</f>
        <v>75</v>
      </c>
      <c r="R215" s="556">
        <f>IF((R203=1),Thermostat!$B$5,Thermostat!$B$6)</f>
        <v>75</v>
      </c>
      <c r="S215" s="556">
        <f>IF((S203=1),Thermostat!$B$5,Thermostat!$B$6)</f>
        <v>75</v>
      </c>
      <c r="T215" s="556">
        <f>IF((T203=1),Thermostat!$B$5,Thermostat!$B$6)</f>
        <v>75</v>
      </c>
      <c r="U215" s="556">
        <f>IF((U203=1),Thermostat!$B$5,Thermostat!$B$6)</f>
        <v>75</v>
      </c>
      <c r="V215" s="556">
        <f>IF((V203=1),Thermostat!$B$5,Thermostat!$B$6)</f>
        <v>75</v>
      </c>
      <c r="W215" s="556">
        <f>IF((W203=1),Thermostat!$B$5,Thermostat!$B$6)</f>
        <v>75</v>
      </c>
      <c r="X215" s="556">
        <f>IF((X203=1),Thermostat!$B$5,Thermostat!$B$6)</f>
        <v>75</v>
      </c>
      <c r="Y215" s="556">
        <f>IF((Y203=1),Thermostat!$B$5,Thermostat!$B$6)</f>
        <v>75</v>
      </c>
      <c r="Z215" s="556">
        <f>IF((Z203=1),Thermostat!$B$5,Thermostat!$B$6)</f>
        <v>75</v>
      </c>
      <c r="AA215" s="556">
        <f>IF((AA203=1),Thermostat!$B$5,Thermostat!$B$6)</f>
        <v>75</v>
      </c>
      <c r="AB215" s="556">
        <f>IF((AB203=1),Thermostat!$B$5,Thermostat!$B$6)</f>
        <v>75</v>
      </c>
      <c r="AC215" s="686">
        <f>IF((AC203=1),Thermostat!$B$5,Thermostat!$B$6)</f>
        <v>75</v>
      </c>
    </row>
    <row r="216" spans="1:37" ht="34.15" customHeight="1">
      <c r="A216" s="1000"/>
      <c r="B216" s="1027"/>
      <c r="C216" s="1069"/>
      <c r="D216" s="1072"/>
      <c r="E216" s="688" t="s">
        <v>524</v>
      </c>
      <c r="F216" s="532">
        <f>IF((F204=1),Thermostat!$B$5,Thermostat!$B$6)</f>
        <v>85</v>
      </c>
      <c r="G216" s="532">
        <f>IF((G204=1),Thermostat!$B$5,Thermostat!$B$6)</f>
        <v>85</v>
      </c>
      <c r="H216" s="532">
        <f>IF((H204=1),Thermostat!$B$5,Thermostat!$B$6)</f>
        <v>85</v>
      </c>
      <c r="I216" s="532">
        <f>IF((I204=1),Thermostat!$B$5,Thermostat!$B$6)</f>
        <v>85</v>
      </c>
      <c r="J216" s="532">
        <f>IF((J204=1),Thermostat!$B$5,Thermostat!$B$6)</f>
        <v>85</v>
      </c>
      <c r="K216" s="532">
        <f>IF((K204=1),Thermostat!$B$5,Thermostat!$B$6)</f>
        <v>85</v>
      </c>
      <c r="L216" s="532">
        <f>IF((L204=1),Thermostat!$B$5,Thermostat!$B$6)</f>
        <v>85</v>
      </c>
      <c r="M216" s="532">
        <f>IF((M204=1),Thermostat!$B$5,Thermostat!$B$6)</f>
        <v>85</v>
      </c>
      <c r="N216" s="532">
        <f>IF((N204=1),Thermostat!$B$5,Thermostat!$B$6)</f>
        <v>85</v>
      </c>
      <c r="O216" s="532">
        <f>IF((O204=1),Thermostat!$B$5,Thermostat!$B$6)</f>
        <v>85</v>
      </c>
      <c r="P216" s="532">
        <f>IF((P204=1),Thermostat!$B$5,Thermostat!$B$6)</f>
        <v>85</v>
      </c>
      <c r="Q216" s="532">
        <f>IF((Q204=1),Thermostat!$B$5,Thermostat!$B$6)</f>
        <v>85</v>
      </c>
      <c r="R216" s="532">
        <f>IF((R204=1),Thermostat!$B$5,Thermostat!$B$6)</f>
        <v>85</v>
      </c>
      <c r="S216" s="532">
        <f>IF((S204=1),Thermostat!$B$5,Thermostat!$B$6)</f>
        <v>85</v>
      </c>
      <c r="T216" s="532">
        <f>IF((T204=1),Thermostat!$B$5,Thermostat!$B$6)</f>
        <v>85</v>
      </c>
      <c r="U216" s="532">
        <f>IF((U204=1),Thermostat!$B$5,Thermostat!$B$6)</f>
        <v>85</v>
      </c>
      <c r="V216" s="532">
        <f>IF((V204=1),Thermostat!$B$5,Thermostat!$B$6)</f>
        <v>85</v>
      </c>
      <c r="W216" s="532">
        <f>IF((W204=1),Thermostat!$B$5,Thermostat!$B$6)</f>
        <v>85</v>
      </c>
      <c r="X216" s="532">
        <f>IF((X204=1),Thermostat!$B$5,Thermostat!$B$6)</f>
        <v>85</v>
      </c>
      <c r="Y216" s="532">
        <f>IF((Y204=1),Thermostat!$B$5,Thermostat!$B$6)</f>
        <v>85</v>
      </c>
      <c r="Z216" s="532">
        <f>IF((Z204=1),Thermostat!$B$5,Thermostat!$B$6)</f>
        <v>85</v>
      </c>
      <c r="AA216" s="532">
        <f>IF((AA204=1),Thermostat!$B$5,Thermostat!$B$6)</f>
        <v>85</v>
      </c>
      <c r="AB216" s="532">
        <f>IF((AB204=1),Thermostat!$B$5,Thermostat!$B$6)</f>
        <v>85</v>
      </c>
      <c r="AC216" s="667">
        <f>IF((AC204=1),Thermostat!$B$5,Thermostat!$B$6)</f>
        <v>85</v>
      </c>
    </row>
    <row r="217" spans="1:37" ht="34.15" customHeight="1" thickBot="1">
      <c r="A217" s="1001"/>
      <c r="B217" s="1094"/>
      <c r="C217" s="1070"/>
      <c r="D217" s="1073"/>
      <c r="E217" s="689" t="s">
        <v>526</v>
      </c>
      <c r="F217" s="669">
        <f>IF((F205=1),Thermostat!$B$5,Thermostat!$B$6)</f>
        <v>85</v>
      </c>
      <c r="G217" s="669">
        <f>IF((G205=1),Thermostat!$B$5,Thermostat!$B$6)</f>
        <v>85</v>
      </c>
      <c r="H217" s="669">
        <f>IF((H205=1),Thermostat!$B$5,Thermostat!$B$6)</f>
        <v>85</v>
      </c>
      <c r="I217" s="669">
        <f>IF((I205=1),Thermostat!$B$5,Thermostat!$B$6)</f>
        <v>85</v>
      </c>
      <c r="J217" s="669">
        <f>IF((J205=1),Thermostat!$B$5,Thermostat!$B$6)</f>
        <v>85</v>
      </c>
      <c r="K217" s="669">
        <f>IF((K205=1),Thermostat!$B$5,Thermostat!$B$6)</f>
        <v>85</v>
      </c>
      <c r="L217" s="669">
        <f>IF((L205=1),Thermostat!$B$5,Thermostat!$B$6)</f>
        <v>85</v>
      </c>
      <c r="M217" s="669">
        <f>IF((M205=1),Thermostat!$B$5,Thermostat!$B$6)</f>
        <v>85</v>
      </c>
      <c r="N217" s="669">
        <f>IF((N205=1),Thermostat!$B$5,Thermostat!$B$6)</f>
        <v>85</v>
      </c>
      <c r="O217" s="669">
        <f>IF((O205=1),Thermostat!$B$5,Thermostat!$B$6)</f>
        <v>85</v>
      </c>
      <c r="P217" s="669">
        <f>IF((P205=1),Thermostat!$B$5,Thermostat!$B$6)</f>
        <v>85</v>
      </c>
      <c r="Q217" s="669">
        <f>IF((Q205=1),Thermostat!$B$5,Thermostat!$B$6)</f>
        <v>85</v>
      </c>
      <c r="R217" s="669">
        <f>IF((R205=1),Thermostat!$B$5,Thermostat!$B$6)</f>
        <v>85</v>
      </c>
      <c r="S217" s="669">
        <f>IF((S205=1),Thermostat!$B$5,Thermostat!$B$6)</f>
        <v>85</v>
      </c>
      <c r="T217" s="669">
        <f>IF((T205=1),Thermostat!$B$5,Thermostat!$B$6)</f>
        <v>85</v>
      </c>
      <c r="U217" s="669">
        <f>IF((U205=1),Thermostat!$B$5,Thermostat!$B$6)</f>
        <v>85</v>
      </c>
      <c r="V217" s="669">
        <f>IF((V205=1),Thermostat!$B$5,Thermostat!$B$6)</f>
        <v>85</v>
      </c>
      <c r="W217" s="669">
        <f>IF((W205=1),Thermostat!$B$5,Thermostat!$B$6)</f>
        <v>85</v>
      </c>
      <c r="X217" s="669">
        <f>IF((X205=1),Thermostat!$B$5,Thermostat!$B$6)</f>
        <v>85</v>
      </c>
      <c r="Y217" s="669">
        <f>IF((Y205=1),Thermostat!$B$5,Thermostat!$B$6)</f>
        <v>85</v>
      </c>
      <c r="Z217" s="669">
        <f>IF((Z205=1),Thermostat!$B$5,Thermostat!$B$6)</f>
        <v>85</v>
      </c>
      <c r="AA217" s="669">
        <f>IF((AA205=1),Thermostat!$B$5,Thermostat!$B$6)</f>
        <v>85</v>
      </c>
      <c r="AB217" s="669">
        <f>IF((AB205=1),Thermostat!$B$5,Thermostat!$B$6)</f>
        <v>85</v>
      </c>
      <c r="AC217" s="670">
        <f>IF((AC205=1),Thermostat!$B$5,Thermostat!$B$6)</f>
        <v>85</v>
      </c>
    </row>
    <row r="218" spans="1:37" ht="30.6" customHeight="1" thickBot="1">
      <c r="A218" s="1135" t="s">
        <v>742</v>
      </c>
      <c r="B218" s="1136"/>
      <c r="C218" s="1136"/>
      <c r="D218" s="1136"/>
      <c r="E218" s="1136"/>
      <c r="F218" s="1136"/>
      <c r="G218" s="1136"/>
      <c r="H218" s="1136"/>
      <c r="I218" s="1136"/>
      <c r="J218" s="1136"/>
      <c r="K218" s="1136"/>
      <c r="L218" s="1136"/>
      <c r="M218" s="1136"/>
      <c r="N218" s="1136"/>
      <c r="O218" s="1136"/>
      <c r="P218" s="1136"/>
      <c r="Q218" s="1136"/>
      <c r="R218" s="1136"/>
      <c r="S218" s="1136"/>
      <c r="T218" s="1136"/>
      <c r="U218" s="1136"/>
      <c r="V218" s="1136"/>
      <c r="W218" s="1136"/>
      <c r="X218" s="1136"/>
      <c r="Y218" s="1136"/>
      <c r="Z218" s="1136"/>
      <c r="AA218" s="1136"/>
      <c r="AB218" s="1136"/>
      <c r="AC218" s="1137"/>
      <c r="AD218" s="41"/>
      <c r="AE218" s="41"/>
      <c r="AF218" s="41"/>
      <c r="AG218" s="41"/>
      <c r="AH218" s="41"/>
      <c r="AI218" s="41"/>
      <c r="AJ218" s="41"/>
      <c r="AK218" s="41"/>
    </row>
    <row r="219" spans="1:37" ht="34.9" customHeight="1">
      <c r="A219" s="999"/>
      <c r="B219" s="1089" t="s">
        <v>749</v>
      </c>
      <c r="C219" s="1089" t="s">
        <v>669</v>
      </c>
      <c r="D219" s="1092" t="s">
        <v>750</v>
      </c>
      <c r="E219" s="502" t="s">
        <v>517</v>
      </c>
      <c r="F219" s="497">
        <v>0.12</v>
      </c>
      <c r="G219" s="497">
        <v>0.12</v>
      </c>
      <c r="H219" s="497">
        <v>0.12</v>
      </c>
      <c r="I219" s="497">
        <v>0.12</v>
      </c>
      <c r="J219" s="497">
        <v>0.12</v>
      </c>
      <c r="K219" s="497">
        <v>0.2</v>
      </c>
      <c r="L219" s="497">
        <v>0.4</v>
      </c>
      <c r="M219" s="497">
        <v>0.5</v>
      </c>
      <c r="N219" s="497">
        <v>0.5</v>
      </c>
      <c r="O219" s="497">
        <v>0.35</v>
      </c>
      <c r="P219" s="497">
        <v>0.15</v>
      </c>
      <c r="Q219" s="497">
        <v>0.15</v>
      </c>
      <c r="R219" s="497">
        <v>0.15</v>
      </c>
      <c r="S219" s="497">
        <v>0.15</v>
      </c>
      <c r="T219" s="497">
        <v>0.15</v>
      </c>
      <c r="U219" s="497">
        <v>0.15</v>
      </c>
      <c r="V219" s="497">
        <v>0.35</v>
      </c>
      <c r="W219" s="497">
        <v>0.5</v>
      </c>
      <c r="X219" s="497">
        <v>0.5</v>
      </c>
      <c r="Y219" s="497">
        <v>0.4</v>
      </c>
      <c r="Z219" s="497">
        <v>0.4</v>
      </c>
      <c r="AA219" s="497">
        <v>0.3</v>
      </c>
      <c r="AB219" s="497">
        <v>0.2</v>
      </c>
      <c r="AC219" s="498">
        <v>0.12</v>
      </c>
      <c r="AD219" s="41"/>
      <c r="AE219" s="41"/>
      <c r="AF219" s="41"/>
      <c r="AG219" s="41"/>
      <c r="AH219" s="41"/>
      <c r="AI219" s="41"/>
      <c r="AJ219" s="41"/>
      <c r="AK219" s="41"/>
    </row>
    <row r="220" spans="1:37" ht="34.9" customHeight="1">
      <c r="A220" s="1000"/>
      <c r="B220" s="1090"/>
      <c r="C220" s="1090"/>
      <c r="D220" s="1086"/>
      <c r="E220" s="503" t="s">
        <v>524</v>
      </c>
      <c r="F220" s="496">
        <v>0.12</v>
      </c>
      <c r="G220" s="496">
        <v>0.12</v>
      </c>
      <c r="H220" s="496">
        <v>0.12</v>
      </c>
      <c r="I220" s="496">
        <v>0.12</v>
      </c>
      <c r="J220" s="496">
        <v>0.12</v>
      </c>
      <c r="K220" s="496">
        <v>0.2</v>
      </c>
      <c r="L220" s="496">
        <v>0.4</v>
      </c>
      <c r="M220" s="496">
        <v>0.5</v>
      </c>
      <c r="N220" s="496">
        <v>0.5</v>
      </c>
      <c r="O220" s="496">
        <v>0.35</v>
      </c>
      <c r="P220" s="496">
        <v>0.15</v>
      </c>
      <c r="Q220" s="496">
        <v>0.15</v>
      </c>
      <c r="R220" s="496">
        <v>0.15</v>
      </c>
      <c r="S220" s="496">
        <v>0.15</v>
      </c>
      <c r="T220" s="496">
        <v>0.15</v>
      </c>
      <c r="U220" s="496">
        <v>0.15</v>
      </c>
      <c r="V220" s="496">
        <v>0.35</v>
      </c>
      <c r="W220" s="496">
        <v>0.5</v>
      </c>
      <c r="X220" s="496">
        <v>0.5</v>
      </c>
      <c r="Y220" s="496">
        <v>0.4</v>
      </c>
      <c r="Z220" s="496">
        <v>0.4</v>
      </c>
      <c r="AA220" s="496">
        <v>0.3</v>
      </c>
      <c r="AB220" s="496">
        <v>0.2</v>
      </c>
      <c r="AC220" s="499">
        <v>0.12</v>
      </c>
      <c r="AD220" s="41"/>
      <c r="AE220" s="41"/>
      <c r="AF220" s="41"/>
      <c r="AG220" s="41"/>
      <c r="AH220" s="41"/>
      <c r="AI220" s="41"/>
      <c r="AJ220" s="41"/>
      <c r="AK220" s="41"/>
    </row>
    <row r="221" spans="1:37" ht="34.9" customHeight="1" thickBot="1">
      <c r="A221" s="1001"/>
      <c r="B221" s="1091"/>
      <c r="C221" s="1091"/>
      <c r="D221" s="1093"/>
      <c r="E221" s="504" t="s">
        <v>526</v>
      </c>
      <c r="F221" s="500">
        <v>0.12</v>
      </c>
      <c r="G221" s="500">
        <v>0.12</v>
      </c>
      <c r="H221" s="500">
        <v>0.12</v>
      </c>
      <c r="I221" s="500">
        <v>0.12</v>
      </c>
      <c r="J221" s="500">
        <v>0.12</v>
      </c>
      <c r="K221" s="500">
        <v>0.2</v>
      </c>
      <c r="L221" s="500">
        <v>0.4</v>
      </c>
      <c r="M221" s="500">
        <v>0.5</v>
      </c>
      <c r="N221" s="500">
        <v>0.5</v>
      </c>
      <c r="O221" s="500">
        <v>0.35</v>
      </c>
      <c r="P221" s="500">
        <v>0.15</v>
      </c>
      <c r="Q221" s="500">
        <v>0.15</v>
      </c>
      <c r="R221" s="500">
        <v>0.15</v>
      </c>
      <c r="S221" s="500">
        <v>0.15</v>
      </c>
      <c r="T221" s="500">
        <v>0.15</v>
      </c>
      <c r="U221" s="500">
        <v>0.15</v>
      </c>
      <c r="V221" s="500">
        <v>0.35</v>
      </c>
      <c r="W221" s="500">
        <v>0.5</v>
      </c>
      <c r="X221" s="500">
        <v>0.5</v>
      </c>
      <c r="Y221" s="500">
        <v>0.4</v>
      </c>
      <c r="Z221" s="500">
        <v>0.4</v>
      </c>
      <c r="AA221" s="500">
        <v>0.3</v>
      </c>
      <c r="AB221" s="500">
        <v>0.2</v>
      </c>
      <c r="AC221" s="501">
        <v>0.12</v>
      </c>
      <c r="AD221" s="41"/>
      <c r="AE221" s="41"/>
      <c r="AF221" s="41"/>
      <c r="AG221" s="41"/>
      <c r="AH221" s="41"/>
      <c r="AI221" s="41"/>
      <c r="AJ221" s="41"/>
      <c r="AK221" s="41"/>
    </row>
    <row r="222" spans="1:37" ht="34.9" customHeight="1">
      <c r="A222" s="1057"/>
      <c r="B222" s="1099" t="s">
        <v>749</v>
      </c>
      <c r="C222" s="1029" t="s">
        <v>751</v>
      </c>
      <c r="D222" s="1086" t="s">
        <v>750</v>
      </c>
      <c r="E222" s="505" t="s">
        <v>517</v>
      </c>
      <c r="F222" s="556">
        <v>1</v>
      </c>
      <c r="G222" s="556">
        <v>1</v>
      </c>
      <c r="H222" s="556">
        <v>1</v>
      </c>
      <c r="I222" s="556">
        <v>1</v>
      </c>
      <c r="J222" s="556">
        <v>1</v>
      </c>
      <c r="K222" s="556">
        <v>1</v>
      </c>
      <c r="L222" s="556">
        <v>1</v>
      </c>
      <c r="M222" s="556">
        <v>1</v>
      </c>
      <c r="N222" s="556">
        <v>1</v>
      </c>
      <c r="O222" s="556">
        <v>1</v>
      </c>
      <c r="P222" s="556">
        <v>1</v>
      </c>
      <c r="Q222" s="556">
        <v>1</v>
      </c>
      <c r="R222" s="556">
        <v>1</v>
      </c>
      <c r="S222" s="556">
        <v>1</v>
      </c>
      <c r="T222" s="556">
        <v>1</v>
      </c>
      <c r="U222" s="556">
        <v>1</v>
      </c>
      <c r="V222" s="556">
        <v>1</v>
      </c>
      <c r="W222" s="556">
        <v>1</v>
      </c>
      <c r="X222" s="556">
        <v>1</v>
      </c>
      <c r="Y222" s="556">
        <v>1</v>
      </c>
      <c r="Z222" s="556">
        <v>1</v>
      </c>
      <c r="AA222" s="556">
        <v>1</v>
      </c>
      <c r="AB222" s="556">
        <v>1</v>
      </c>
      <c r="AC222" s="557">
        <v>1</v>
      </c>
      <c r="AD222" s="41"/>
      <c r="AE222" s="41"/>
      <c r="AF222" s="41"/>
      <c r="AG222" s="41"/>
      <c r="AH222" s="41"/>
      <c r="AI222" s="41"/>
      <c r="AJ222" s="41"/>
      <c r="AK222" s="41"/>
    </row>
    <row r="223" spans="1:37" ht="34.9" customHeight="1">
      <c r="A223" s="1058"/>
      <c r="B223" s="1090"/>
      <c r="C223" s="1079"/>
      <c r="D223" s="1086"/>
      <c r="E223" s="503" t="s">
        <v>524</v>
      </c>
      <c r="F223" s="532">
        <v>1</v>
      </c>
      <c r="G223" s="532">
        <v>1</v>
      </c>
      <c r="H223" s="532">
        <v>1</v>
      </c>
      <c r="I223" s="532">
        <v>1</v>
      </c>
      <c r="J223" s="532">
        <v>1</v>
      </c>
      <c r="K223" s="532">
        <v>1</v>
      </c>
      <c r="L223" s="532">
        <v>1</v>
      </c>
      <c r="M223" s="532">
        <v>1</v>
      </c>
      <c r="N223" s="532">
        <v>1</v>
      </c>
      <c r="O223" s="532">
        <v>1</v>
      </c>
      <c r="P223" s="532">
        <v>1</v>
      </c>
      <c r="Q223" s="532">
        <v>1</v>
      </c>
      <c r="R223" s="532">
        <v>1</v>
      </c>
      <c r="S223" s="532">
        <v>1</v>
      </c>
      <c r="T223" s="532">
        <v>1</v>
      </c>
      <c r="U223" s="532">
        <v>1</v>
      </c>
      <c r="V223" s="532">
        <v>1</v>
      </c>
      <c r="W223" s="532">
        <v>1</v>
      </c>
      <c r="X223" s="532">
        <v>1</v>
      </c>
      <c r="Y223" s="532">
        <v>1</v>
      </c>
      <c r="Z223" s="532">
        <v>1</v>
      </c>
      <c r="AA223" s="532">
        <v>1</v>
      </c>
      <c r="AB223" s="532">
        <v>1</v>
      </c>
      <c r="AC223" s="533">
        <v>1</v>
      </c>
      <c r="AD223" s="41"/>
      <c r="AE223" s="41"/>
      <c r="AF223" s="41"/>
      <c r="AG223" s="41"/>
      <c r="AH223" s="41"/>
      <c r="AI223" s="41"/>
      <c r="AJ223" s="41"/>
      <c r="AK223" s="41"/>
    </row>
    <row r="224" spans="1:37" ht="34.9" customHeight="1" thickBot="1">
      <c r="A224" s="1059"/>
      <c r="B224" s="1100"/>
      <c r="C224" s="1080"/>
      <c r="D224" s="1087"/>
      <c r="E224" s="504" t="s">
        <v>526</v>
      </c>
      <c r="F224" s="541">
        <v>1</v>
      </c>
      <c r="G224" s="541">
        <v>1</v>
      </c>
      <c r="H224" s="541">
        <v>1</v>
      </c>
      <c r="I224" s="541">
        <v>1</v>
      </c>
      <c r="J224" s="541">
        <v>1</v>
      </c>
      <c r="K224" s="541">
        <v>1</v>
      </c>
      <c r="L224" s="541">
        <v>1</v>
      </c>
      <c r="M224" s="541">
        <v>1</v>
      </c>
      <c r="N224" s="541">
        <v>1</v>
      </c>
      <c r="O224" s="541">
        <v>1</v>
      </c>
      <c r="P224" s="541">
        <v>1</v>
      </c>
      <c r="Q224" s="541">
        <v>1</v>
      </c>
      <c r="R224" s="541">
        <v>1</v>
      </c>
      <c r="S224" s="541">
        <v>1</v>
      </c>
      <c r="T224" s="541">
        <v>1</v>
      </c>
      <c r="U224" s="541">
        <v>1</v>
      </c>
      <c r="V224" s="541">
        <v>1</v>
      </c>
      <c r="W224" s="541">
        <v>1</v>
      </c>
      <c r="X224" s="541">
        <v>1</v>
      </c>
      <c r="Y224" s="541">
        <v>1</v>
      </c>
      <c r="Z224" s="541">
        <v>1</v>
      </c>
      <c r="AA224" s="541">
        <v>1</v>
      </c>
      <c r="AB224" s="541">
        <v>1</v>
      </c>
      <c r="AC224" s="542">
        <v>1</v>
      </c>
      <c r="AD224" s="41"/>
      <c r="AE224" s="41"/>
      <c r="AF224" s="41"/>
      <c r="AG224" s="41"/>
      <c r="AH224" s="41"/>
      <c r="AI224" s="41"/>
      <c r="AJ224" s="41"/>
      <c r="AK224" s="41"/>
    </row>
    <row r="225" spans="1:37" ht="34.9" customHeight="1">
      <c r="A225" s="1063"/>
      <c r="B225" s="1101" t="s">
        <v>749</v>
      </c>
      <c r="C225" s="1034" t="s">
        <v>752</v>
      </c>
      <c r="D225" s="1085" t="s">
        <v>753</v>
      </c>
      <c r="E225" s="502" t="s">
        <v>517</v>
      </c>
      <c r="F225" s="539">
        <v>0</v>
      </c>
      <c r="G225" s="539">
        <v>0</v>
      </c>
      <c r="H225" s="539">
        <v>0</v>
      </c>
      <c r="I225" s="539">
        <v>0</v>
      </c>
      <c r="J225" s="539">
        <v>0</v>
      </c>
      <c r="K225" s="539">
        <v>1</v>
      </c>
      <c r="L225" s="539">
        <v>1</v>
      </c>
      <c r="M225" s="539">
        <v>1</v>
      </c>
      <c r="N225" s="539">
        <v>1</v>
      </c>
      <c r="O225" s="539">
        <v>1</v>
      </c>
      <c r="P225" s="539">
        <v>1</v>
      </c>
      <c r="Q225" s="539">
        <v>1</v>
      </c>
      <c r="R225" s="539">
        <v>1</v>
      </c>
      <c r="S225" s="539">
        <v>1</v>
      </c>
      <c r="T225" s="539">
        <v>1</v>
      </c>
      <c r="U225" s="539">
        <v>1</v>
      </c>
      <c r="V225" s="539">
        <v>1</v>
      </c>
      <c r="W225" s="539">
        <v>1</v>
      </c>
      <c r="X225" s="539">
        <v>1</v>
      </c>
      <c r="Y225" s="539">
        <v>1</v>
      </c>
      <c r="Z225" s="539">
        <v>1</v>
      </c>
      <c r="AA225" s="539">
        <v>1</v>
      </c>
      <c r="AB225" s="539">
        <v>0</v>
      </c>
      <c r="AC225" s="540">
        <v>0</v>
      </c>
      <c r="AD225" s="41"/>
      <c r="AE225" s="41"/>
      <c r="AF225" s="41"/>
      <c r="AG225" s="41"/>
      <c r="AH225" s="41"/>
      <c r="AI225" s="41"/>
      <c r="AJ225" s="41"/>
      <c r="AK225" s="41"/>
    </row>
    <row r="226" spans="1:37" ht="34.9" customHeight="1">
      <c r="A226" s="1058"/>
      <c r="B226" s="1090"/>
      <c r="C226" s="1079"/>
      <c r="D226" s="1086"/>
      <c r="E226" s="503" t="s">
        <v>524</v>
      </c>
      <c r="F226" s="532">
        <v>0</v>
      </c>
      <c r="G226" s="532">
        <v>0</v>
      </c>
      <c r="H226" s="532">
        <v>0</v>
      </c>
      <c r="I226" s="532">
        <v>0</v>
      </c>
      <c r="J226" s="532">
        <v>0</v>
      </c>
      <c r="K226" s="532">
        <v>1</v>
      </c>
      <c r="L226" s="532">
        <v>1</v>
      </c>
      <c r="M226" s="532">
        <v>1</v>
      </c>
      <c r="N226" s="532">
        <v>1</v>
      </c>
      <c r="O226" s="532">
        <v>1</v>
      </c>
      <c r="P226" s="532">
        <v>1</v>
      </c>
      <c r="Q226" s="532">
        <v>1</v>
      </c>
      <c r="R226" s="532">
        <v>1</v>
      </c>
      <c r="S226" s="532">
        <v>1</v>
      </c>
      <c r="T226" s="532">
        <v>1</v>
      </c>
      <c r="U226" s="532">
        <v>1</v>
      </c>
      <c r="V226" s="532">
        <v>1</v>
      </c>
      <c r="W226" s="532">
        <v>1</v>
      </c>
      <c r="X226" s="532">
        <v>1</v>
      </c>
      <c r="Y226" s="532">
        <v>1</v>
      </c>
      <c r="Z226" s="532">
        <v>1</v>
      </c>
      <c r="AA226" s="532">
        <v>1</v>
      </c>
      <c r="AB226" s="532">
        <v>1</v>
      </c>
      <c r="AC226" s="533">
        <v>1</v>
      </c>
      <c r="AD226" s="41"/>
      <c r="AE226" s="41"/>
      <c r="AF226" s="41"/>
      <c r="AG226" s="41"/>
      <c r="AH226" s="41"/>
      <c r="AI226" s="41"/>
      <c r="AJ226" s="41"/>
      <c r="AK226" s="41"/>
    </row>
    <row r="227" spans="1:37" ht="34.9" customHeight="1" thickBot="1">
      <c r="A227" s="1059"/>
      <c r="B227" s="1100"/>
      <c r="C227" s="1080"/>
      <c r="D227" s="1087"/>
      <c r="E227" s="504" t="s">
        <v>526</v>
      </c>
      <c r="F227" s="541">
        <v>0</v>
      </c>
      <c r="G227" s="541">
        <v>0</v>
      </c>
      <c r="H227" s="541">
        <v>0</v>
      </c>
      <c r="I227" s="541">
        <v>0</v>
      </c>
      <c r="J227" s="541">
        <v>0</v>
      </c>
      <c r="K227" s="541">
        <v>1</v>
      </c>
      <c r="L227" s="541">
        <v>1</v>
      </c>
      <c r="M227" s="541">
        <v>1</v>
      </c>
      <c r="N227" s="541">
        <v>1</v>
      </c>
      <c r="O227" s="541">
        <v>1</v>
      </c>
      <c r="P227" s="541">
        <v>1</v>
      </c>
      <c r="Q227" s="541">
        <v>1</v>
      </c>
      <c r="R227" s="541">
        <v>1</v>
      </c>
      <c r="S227" s="541">
        <v>1</v>
      </c>
      <c r="T227" s="541">
        <v>1</v>
      </c>
      <c r="U227" s="541">
        <v>1</v>
      </c>
      <c r="V227" s="541">
        <v>1</v>
      </c>
      <c r="W227" s="541">
        <v>1</v>
      </c>
      <c r="X227" s="541">
        <v>1</v>
      </c>
      <c r="Y227" s="541">
        <v>1</v>
      </c>
      <c r="Z227" s="541">
        <v>1</v>
      </c>
      <c r="AA227" s="541">
        <v>1</v>
      </c>
      <c r="AB227" s="541">
        <v>1</v>
      </c>
      <c r="AC227" s="542">
        <v>1</v>
      </c>
      <c r="AD227" s="41"/>
      <c r="AE227" s="41"/>
      <c r="AF227" s="41"/>
      <c r="AG227" s="41"/>
      <c r="AH227" s="41"/>
      <c r="AI227" s="41"/>
      <c r="AJ227" s="41"/>
      <c r="AK227" s="41"/>
    </row>
    <row r="228" spans="1:37" ht="24.6" customHeight="1">
      <c r="A228" s="1083" t="s">
        <v>754</v>
      </c>
      <c r="B228" s="1034" t="s">
        <v>749</v>
      </c>
      <c r="C228" s="1034" t="s">
        <v>755</v>
      </c>
      <c r="D228" s="1043" t="s">
        <v>756</v>
      </c>
      <c r="E228" s="502" t="s">
        <v>517</v>
      </c>
      <c r="F228" s="539">
        <v>146.5</v>
      </c>
      <c r="G228" s="539">
        <v>146.5</v>
      </c>
      <c r="H228" s="539">
        <v>146.5</v>
      </c>
      <c r="I228" s="539">
        <v>146.5</v>
      </c>
      <c r="J228" s="539">
        <v>146.5</v>
      </c>
      <c r="K228" s="539">
        <v>146.5</v>
      </c>
      <c r="L228" s="539">
        <v>146.5</v>
      </c>
      <c r="M228" s="539">
        <v>146.5</v>
      </c>
      <c r="N228" s="539">
        <v>146.5</v>
      </c>
      <c r="O228" s="539">
        <v>146.5</v>
      </c>
      <c r="P228" s="539">
        <v>146.5</v>
      </c>
      <c r="Q228" s="539">
        <v>146.5</v>
      </c>
      <c r="R228" s="539">
        <v>146.5</v>
      </c>
      <c r="S228" s="539">
        <v>146.5</v>
      </c>
      <c r="T228" s="539">
        <v>146.5</v>
      </c>
      <c r="U228" s="539">
        <v>146.5</v>
      </c>
      <c r="V228" s="539">
        <v>146.5</v>
      </c>
      <c r="W228" s="539">
        <v>146.5</v>
      </c>
      <c r="X228" s="539">
        <v>146.5</v>
      </c>
      <c r="Y228" s="539">
        <v>146.5</v>
      </c>
      <c r="Z228" s="539">
        <v>146.5</v>
      </c>
      <c r="AA228" s="539">
        <v>146.5</v>
      </c>
      <c r="AB228" s="539">
        <v>146.5</v>
      </c>
      <c r="AC228" s="539">
        <v>146.5</v>
      </c>
    </row>
    <row r="229" spans="1:37" ht="24.6" customHeight="1">
      <c r="A229" s="1000"/>
      <c r="B229" s="1079"/>
      <c r="C229" s="1003"/>
      <c r="D229" s="1032"/>
      <c r="E229" s="503" t="s">
        <v>524</v>
      </c>
      <c r="F229" s="532">
        <v>146.5</v>
      </c>
      <c r="G229" s="532">
        <v>146.5</v>
      </c>
      <c r="H229" s="532">
        <v>146.5</v>
      </c>
      <c r="I229" s="532">
        <v>146.5</v>
      </c>
      <c r="J229" s="532">
        <v>146.5</v>
      </c>
      <c r="K229" s="532">
        <v>146.5</v>
      </c>
      <c r="L229" s="532">
        <v>146.5</v>
      </c>
      <c r="M229" s="532">
        <v>146.5</v>
      </c>
      <c r="N229" s="532">
        <v>146.5</v>
      </c>
      <c r="O229" s="532">
        <v>146.5</v>
      </c>
      <c r="P229" s="532">
        <v>146.5</v>
      </c>
      <c r="Q229" s="532">
        <v>146.5</v>
      </c>
      <c r="R229" s="532">
        <v>146.5</v>
      </c>
      <c r="S229" s="532">
        <v>146.5</v>
      </c>
      <c r="T229" s="532">
        <v>146.5</v>
      </c>
      <c r="U229" s="532">
        <v>146.5</v>
      </c>
      <c r="V229" s="532">
        <v>146.5</v>
      </c>
      <c r="W229" s="532">
        <v>146.5</v>
      </c>
      <c r="X229" s="532">
        <v>146.5</v>
      </c>
      <c r="Y229" s="532">
        <v>146.5</v>
      </c>
      <c r="Z229" s="532">
        <v>146.5</v>
      </c>
      <c r="AA229" s="532">
        <v>146.5</v>
      </c>
      <c r="AB229" s="532">
        <v>146.5</v>
      </c>
      <c r="AC229" s="532">
        <v>146.5</v>
      </c>
    </row>
    <row r="230" spans="1:37" ht="24.6" customHeight="1" thickBot="1">
      <c r="A230" s="1084"/>
      <c r="B230" s="1080"/>
      <c r="C230" s="1036"/>
      <c r="D230" s="1044"/>
      <c r="E230" s="504" t="s">
        <v>526</v>
      </c>
      <c r="F230" s="541">
        <v>146.5</v>
      </c>
      <c r="G230" s="541">
        <v>146.5</v>
      </c>
      <c r="H230" s="541">
        <v>146.5</v>
      </c>
      <c r="I230" s="541">
        <v>146.5</v>
      </c>
      <c r="J230" s="541">
        <v>146.5</v>
      </c>
      <c r="K230" s="541">
        <v>146.5</v>
      </c>
      <c r="L230" s="541">
        <v>146.5</v>
      </c>
      <c r="M230" s="541">
        <v>146.5</v>
      </c>
      <c r="N230" s="541">
        <v>146.5</v>
      </c>
      <c r="O230" s="541">
        <v>146.5</v>
      </c>
      <c r="P230" s="541">
        <v>146.5</v>
      </c>
      <c r="Q230" s="541">
        <v>146.5</v>
      </c>
      <c r="R230" s="541">
        <v>146.5</v>
      </c>
      <c r="S230" s="541">
        <v>146.5</v>
      </c>
      <c r="T230" s="541">
        <v>146.5</v>
      </c>
      <c r="U230" s="541">
        <v>146.5</v>
      </c>
      <c r="V230" s="541">
        <v>146.5</v>
      </c>
      <c r="W230" s="541">
        <v>146.5</v>
      </c>
      <c r="X230" s="541">
        <v>146.5</v>
      </c>
      <c r="Y230" s="541">
        <v>146.5</v>
      </c>
      <c r="Z230" s="541">
        <v>146.5</v>
      </c>
      <c r="AA230" s="541">
        <v>146.5</v>
      </c>
      <c r="AB230" s="541">
        <v>146.5</v>
      </c>
      <c r="AC230" s="541">
        <v>146.5</v>
      </c>
    </row>
    <row r="231" spans="1:37" ht="24.6" customHeight="1">
      <c r="A231" s="1083" t="s">
        <v>757</v>
      </c>
      <c r="B231" s="1034" t="s">
        <v>749</v>
      </c>
      <c r="C231" s="1034" t="s">
        <v>758</v>
      </c>
      <c r="D231" s="1043" t="s">
        <v>756</v>
      </c>
      <c r="E231" s="502" t="s">
        <v>517</v>
      </c>
      <c r="F231" s="539">
        <v>117.2</v>
      </c>
      <c r="G231" s="539">
        <v>117.2</v>
      </c>
      <c r="H231" s="539">
        <v>117.2</v>
      </c>
      <c r="I231" s="539">
        <v>117.2</v>
      </c>
      <c r="J231" s="539">
        <v>117.2</v>
      </c>
      <c r="K231" s="539">
        <v>117.2</v>
      </c>
      <c r="L231" s="539">
        <v>117.2</v>
      </c>
      <c r="M231" s="539">
        <v>117.2</v>
      </c>
      <c r="N231" s="539">
        <v>117.2</v>
      </c>
      <c r="O231" s="539">
        <v>117.2</v>
      </c>
      <c r="P231" s="539">
        <v>117.2</v>
      </c>
      <c r="Q231" s="539">
        <v>117.2</v>
      </c>
      <c r="R231" s="539">
        <v>117.2</v>
      </c>
      <c r="S231" s="539">
        <v>117.2</v>
      </c>
      <c r="T231" s="539">
        <v>117.2</v>
      </c>
      <c r="U231" s="539">
        <v>117.2</v>
      </c>
      <c r="V231" s="539">
        <v>117.2</v>
      </c>
      <c r="W231" s="539">
        <v>117.2</v>
      </c>
      <c r="X231" s="539">
        <v>117.2</v>
      </c>
      <c r="Y231" s="539">
        <v>117.2</v>
      </c>
      <c r="Z231" s="539">
        <v>117.2</v>
      </c>
      <c r="AA231" s="539">
        <v>117.2</v>
      </c>
      <c r="AB231" s="539">
        <v>117.2</v>
      </c>
      <c r="AC231" s="540">
        <v>117.2</v>
      </c>
    </row>
    <row r="232" spans="1:37" ht="24.6" customHeight="1">
      <c r="A232" s="1000"/>
      <c r="B232" s="1079"/>
      <c r="C232" s="1003"/>
      <c r="D232" s="1032"/>
      <c r="E232" s="503" t="s">
        <v>524</v>
      </c>
      <c r="F232" s="532">
        <v>117.2</v>
      </c>
      <c r="G232" s="532">
        <v>117.2</v>
      </c>
      <c r="H232" s="532">
        <v>117.2</v>
      </c>
      <c r="I232" s="532">
        <v>117.2</v>
      </c>
      <c r="J232" s="532">
        <v>117.2</v>
      </c>
      <c r="K232" s="532">
        <v>117.2</v>
      </c>
      <c r="L232" s="532">
        <v>117.2</v>
      </c>
      <c r="M232" s="532">
        <v>117.2</v>
      </c>
      <c r="N232" s="532">
        <v>117.2</v>
      </c>
      <c r="O232" s="532">
        <v>117.2</v>
      </c>
      <c r="P232" s="532">
        <v>117.2</v>
      </c>
      <c r="Q232" s="532">
        <v>117.2</v>
      </c>
      <c r="R232" s="532">
        <v>117.2</v>
      </c>
      <c r="S232" s="532">
        <v>117.2</v>
      </c>
      <c r="T232" s="532">
        <v>117.2</v>
      </c>
      <c r="U232" s="532">
        <v>117.2</v>
      </c>
      <c r="V232" s="532">
        <v>117.2</v>
      </c>
      <c r="W232" s="532">
        <v>117.2</v>
      </c>
      <c r="X232" s="532">
        <v>117.2</v>
      </c>
      <c r="Y232" s="532">
        <v>117.2</v>
      </c>
      <c r="Z232" s="532">
        <v>117.2</v>
      </c>
      <c r="AA232" s="532">
        <v>117.2</v>
      </c>
      <c r="AB232" s="532">
        <v>117.2</v>
      </c>
      <c r="AC232" s="533">
        <v>117.2</v>
      </c>
    </row>
    <row r="233" spans="1:37" ht="24.6" customHeight="1" thickBot="1">
      <c r="A233" s="1084"/>
      <c r="B233" s="1080"/>
      <c r="C233" s="1036"/>
      <c r="D233" s="1044"/>
      <c r="E233" s="504" t="s">
        <v>526</v>
      </c>
      <c r="F233" s="541">
        <v>117.2</v>
      </c>
      <c r="G233" s="541">
        <v>117.2</v>
      </c>
      <c r="H233" s="541">
        <v>117.2</v>
      </c>
      <c r="I233" s="541">
        <v>117.2</v>
      </c>
      <c r="J233" s="541">
        <v>117.2</v>
      </c>
      <c r="K233" s="541">
        <v>117.2</v>
      </c>
      <c r="L233" s="541">
        <v>117.2</v>
      </c>
      <c r="M233" s="541">
        <v>117.2</v>
      </c>
      <c r="N233" s="541">
        <v>117.2</v>
      </c>
      <c r="O233" s="541">
        <v>117.2</v>
      </c>
      <c r="P233" s="541">
        <v>117.2</v>
      </c>
      <c r="Q233" s="541">
        <v>117.2</v>
      </c>
      <c r="R233" s="541">
        <v>117.2</v>
      </c>
      <c r="S233" s="541">
        <v>117.2</v>
      </c>
      <c r="T233" s="541">
        <v>117.2</v>
      </c>
      <c r="U233" s="541">
        <v>117.2</v>
      </c>
      <c r="V233" s="541">
        <v>117.2</v>
      </c>
      <c r="W233" s="541">
        <v>117.2</v>
      </c>
      <c r="X233" s="541">
        <v>117.2</v>
      </c>
      <c r="Y233" s="541">
        <v>117.2</v>
      </c>
      <c r="Z233" s="541">
        <v>117.2</v>
      </c>
      <c r="AA233" s="541">
        <v>117.2</v>
      </c>
      <c r="AB233" s="541">
        <v>117.2</v>
      </c>
      <c r="AC233" s="542">
        <v>117.2</v>
      </c>
    </row>
    <row r="234" spans="1:37" ht="24.6" customHeight="1">
      <c r="A234" s="1083" t="s">
        <v>128</v>
      </c>
      <c r="B234" s="1034" t="s">
        <v>749</v>
      </c>
      <c r="C234" s="1034" t="s">
        <v>759</v>
      </c>
      <c r="D234" s="1043" t="s">
        <v>756</v>
      </c>
      <c r="E234" s="502" t="s">
        <v>517</v>
      </c>
      <c r="F234" s="539">
        <v>131.9</v>
      </c>
      <c r="G234" s="539">
        <v>131.9</v>
      </c>
      <c r="H234" s="539">
        <v>131.9</v>
      </c>
      <c r="I234" s="539">
        <v>131.9</v>
      </c>
      <c r="J234" s="539">
        <v>131.9</v>
      </c>
      <c r="K234" s="539">
        <v>131.9</v>
      </c>
      <c r="L234" s="539">
        <v>131.9</v>
      </c>
      <c r="M234" s="539">
        <v>131.9</v>
      </c>
      <c r="N234" s="539">
        <v>131.9</v>
      </c>
      <c r="O234" s="539">
        <v>131.9</v>
      </c>
      <c r="P234" s="539">
        <v>131.9</v>
      </c>
      <c r="Q234" s="539">
        <v>131.9</v>
      </c>
      <c r="R234" s="539">
        <v>131.9</v>
      </c>
      <c r="S234" s="539">
        <v>131.9</v>
      </c>
      <c r="T234" s="539">
        <v>131.9</v>
      </c>
      <c r="U234" s="539">
        <v>131.9</v>
      </c>
      <c r="V234" s="539">
        <v>131.9</v>
      </c>
      <c r="W234" s="539">
        <v>131.9</v>
      </c>
      <c r="X234" s="539">
        <v>131.9</v>
      </c>
      <c r="Y234" s="539">
        <v>131.9</v>
      </c>
      <c r="Z234" s="539">
        <v>131.9</v>
      </c>
      <c r="AA234" s="539">
        <v>131.9</v>
      </c>
      <c r="AB234" s="539">
        <v>131.9</v>
      </c>
      <c r="AC234" s="540">
        <v>131.9</v>
      </c>
    </row>
    <row r="235" spans="1:37" ht="24.6" customHeight="1">
      <c r="A235" s="1025"/>
      <c r="B235" s="1079"/>
      <c r="C235" s="1079"/>
      <c r="D235" s="1032"/>
      <c r="E235" s="503" t="s">
        <v>524</v>
      </c>
      <c r="F235" s="532">
        <v>131.9</v>
      </c>
      <c r="G235" s="532">
        <v>131.9</v>
      </c>
      <c r="H235" s="532">
        <v>131.9</v>
      </c>
      <c r="I235" s="532">
        <v>131.9</v>
      </c>
      <c r="J235" s="532">
        <v>131.9</v>
      </c>
      <c r="K235" s="532">
        <v>131.9</v>
      </c>
      <c r="L235" s="532">
        <v>131.9</v>
      </c>
      <c r="M235" s="532">
        <v>131.9</v>
      </c>
      <c r="N235" s="532">
        <v>131.9</v>
      </c>
      <c r="O235" s="532">
        <v>131.9</v>
      </c>
      <c r="P235" s="532">
        <v>131.9</v>
      </c>
      <c r="Q235" s="532">
        <v>131.9</v>
      </c>
      <c r="R235" s="532">
        <v>131.9</v>
      </c>
      <c r="S235" s="532">
        <v>131.9</v>
      </c>
      <c r="T235" s="532">
        <v>131.9</v>
      </c>
      <c r="U235" s="532">
        <v>131.9</v>
      </c>
      <c r="V235" s="532">
        <v>131.9</v>
      </c>
      <c r="W235" s="532">
        <v>131.9</v>
      </c>
      <c r="X235" s="532">
        <v>131.9</v>
      </c>
      <c r="Y235" s="532">
        <v>131.9</v>
      </c>
      <c r="Z235" s="532">
        <v>131.9</v>
      </c>
      <c r="AA235" s="532">
        <v>131.9</v>
      </c>
      <c r="AB235" s="532">
        <v>131.9</v>
      </c>
      <c r="AC235" s="533">
        <v>131.9</v>
      </c>
    </row>
    <row r="236" spans="1:37" ht="24.6" customHeight="1" thickBot="1">
      <c r="A236" s="1035"/>
      <c r="B236" s="1080"/>
      <c r="C236" s="1081"/>
      <c r="D236" s="1044"/>
      <c r="E236" s="504" t="s">
        <v>526</v>
      </c>
      <c r="F236" s="541">
        <v>131.9</v>
      </c>
      <c r="G236" s="541">
        <v>131.9</v>
      </c>
      <c r="H236" s="541">
        <v>131.9</v>
      </c>
      <c r="I236" s="541">
        <v>131.9</v>
      </c>
      <c r="J236" s="541">
        <v>131.9</v>
      </c>
      <c r="K236" s="541">
        <v>131.9</v>
      </c>
      <c r="L236" s="541">
        <v>131.9</v>
      </c>
      <c r="M236" s="541">
        <v>131.9</v>
      </c>
      <c r="N236" s="541">
        <v>131.9</v>
      </c>
      <c r="O236" s="541">
        <v>131.9</v>
      </c>
      <c r="P236" s="541">
        <v>131.9</v>
      </c>
      <c r="Q236" s="541">
        <v>131.9</v>
      </c>
      <c r="R236" s="541">
        <v>131.9</v>
      </c>
      <c r="S236" s="541">
        <v>131.9</v>
      </c>
      <c r="T236" s="541">
        <v>131.9</v>
      </c>
      <c r="U236" s="541">
        <v>131.9</v>
      </c>
      <c r="V236" s="541">
        <v>131.9</v>
      </c>
      <c r="W236" s="541">
        <v>131.9</v>
      </c>
      <c r="X236" s="541">
        <v>131.9</v>
      </c>
      <c r="Y236" s="541">
        <v>131.9</v>
      </c>
      <c r="Z236" s="541">
        <v>131.9</v>
      </c>
      <c r="AA236" s="541">
        <v>131.9</v>
      </c>
      <c r="AB236" s="541">
        <v>131.9</v>
      </c>
      <c r="AC236" s="542">
        <v>131.9</v>
      </c>
    </row>
    <row r="237" spans="1:37" ht="24.6" customHeight="1">
      <c r="A237" s="1045" t="s">
        <v>760</v>
      </c>
      <c r="B237" s="1048" t="s">
        <v>749</v>
      </c>
      <c r="C237" s="1048" t="s">
        <v>761</v>
      </c>
      <c r="D237" s="1052" t="s">
        <v>756</v>
      </c>
      <c r="E237" s="673" t="s">
        <v>517</v>
      </c>
      <c r="F237" s="638">
        <v>219.8</v>
      </c>
      <c r="G237" s="638">
        <v>219.8</v>
      </c>
      <c r="H237" s="638">
        <v>219.8</v>
      </c>
      <c r="I237" s="638">
        <v>219.8</v>
      </c>
      <c r="J237" s="638">
        <v>219.8</v>
      </c>
      <c r="K237" s="638">
        <v>219.8</v>
      </c>
      <c r="L237" s="638">
        <v>219.8</v>
      </c>
      <c r="M237" s="638">
        <v>219.8</v>
      </c>
      <c r="N237" s="638">
        <v>219.8</v>
      </c>
      <c r="O237" s="638">
        <v>219.8</v>
      </c>
      <c r="P237" s="638">
        <v>219.8</v>
      </c>
      <c r="Q237" s="638">
        <v>219.8</v>
      </c>
      <c r="R237" s="638">
        <v>219.8</v>
      </c>
      <c r="S237" s="638">
        <v>219.8</v>
      </c>
      <c r="T237" s="638">
        <v>219.8</v>
      </c>
      <c r="U237" s="638">
        <v>219.8</v>
      </c>
      <c r="V237" s="638">
        <v>219.8</v>
      </c>
      <c r="W237" s="638">
        <v>219.8</v>
      </c>
      <c r="X237" s="638">
        <v>219.8</v>
      </c>
      <c r="Y237" s="638">
        <v>219.8</v>
      </c>
      <c r="Z237" s="638">
        <v>219.8</v>
      </c>
      <c r="AA237" s="638">
        <v>219.8</v>
      </c>
      <c r="AB237" s="638">
        <v>219.8</v>
      </c>
      <c r="AC237" s="639">
        <v>219.8</v>
      </c>
      <c r="AD237" s="672"/>
    </row>
    <row r="238" spans="1:37" ht="24.6" customHeight="1">
      <c r="A238" s="1046"/>
      <c r="B238" s="1049"/>
      <c r="C238" s="1049"/>
      <c r="D238" s="1053"/>
      <c r="E238" s="674" t="s">
        <v>524</v>
      </c>
      <c r="F238" s="640">
        <v>219.8</v>
      </c>
      <c r="G238" s="640">
        <v>219.8</v>
      </c>
      <c r="H238" s="640">
        <v>219.8</v>
      </c>
      <c r="I238" s="640">
        <v>219.8</v>
      </c>
      <c r="J238" s="640">
        <v>219.8</v>
      </c>
      <c r="K238" s="640">
        <v>219.8</v>
      </c>
      <c r="L238" s="640">
        <v>219.8</v>
      </c>
      <c r="M238" s="640">
        <v>219.8</v>
      </c>
      <c r="N238" s="640">
        <v>219.8</v>
      </c>
      <c r="O238" s="640">
        <v>219.8</v>
      </c>
      <c r="P238" s="640">
        <v>219.8</v>
      </c>
      <c r="Q238" s="640">
        <v>219.8</v>
      </c>
      <c r="R238" s="640">
        <v>219.8</v>
      </c>
      <c r="S238" s="640">
        <v>219.8</v>
      </c>
      <c r="T238" s="640">
        <v>219.8</v>
      </c>
      <c r="U238" s="640">
        <v>219.8</v>
      </c>
      <c r="V238" s="640">
        <v>219.8</v>
      </c>
      <c r="W238" s="640">
        <v>219.8</v>
      </c>
      <c r="X238" s="640">
        <v>219.8</v>
      </c>
      <c r="Y238" s="640">
        <v>219.8</v>
      </c>
      <c r="Z238" s="640">
        <v>219.8</v>
      </c>
      <c r="AA238" s="640">
        <v>219.8</v>
      </c>
      <c r="AB238" s="640">
        <v>219.8</v>
      </c>
      <c r="AC238" s="641">
        <v>219.8</v>
      </c>
      <c r="AD238" s="672"/>
    </row>
    <row r="239" spans="1:37" ht="24.6" customHeight="1" thickBot="1">
      <c r="A239" s="1047"/>
      <c r="B239" s="1050"/>
      <c r="C239" s="1051"/>
      <c r="D239" s="1054"/>
      <c r="E239" s="675" t="s">
        <v>526</v>
      </c>
      <c r="F239" s="642">
        <v>219.8</v>
      </c>
      <c r="G239" s="642">
        <v>219.8</v>
      </c>
      <c r="H239" s="642">
        <v>219.8</v>
      </c>
      <c r="I239" s="642">
        <v>219.8</v>
      </c>
      <c r="J239" s="642">
        <v>219.8</v>
      </c>
      <c r="K239" s="642">
        <v>219.8</v>
      </c>
      <c r="L239" s="642">
        <v>219.8</v>
      </c>
      <c r="M239" s="642">
        <v>219.8</v>
      </c>
      <c r="N239" s="642">
        <v>219.8</v>
      </c>
      <c r="O239" s="642">
        <v>219.8</v>
      </c>
      <c r="P239" s="642">
        <v>219.8</v>
      </c>
      <c r="Q239" s="642">
        <v>219.8</v>
      </c>
      <c r="R239" s="642">
        <v>219.8</v>
      </c>
      <c r="S239" s="642">
        <v>219.8</v>
      </c>
      <c r="T239" s="642">
        <v>219.8</v>
      </c>
      <c r="U239" s="642">
        <v>219.8</v>
      </c>
      <c r="V239" s="642">
        <v>219.8</v>
      </c>
      <c r="W239" s="642">
        <v>219.8</v>
      </c>
      <c r="X239" s="642">
        <v>219.8</v>
      </c>
      <c r="Y239" s="642">
        <v>219.8</v>
      </c>
      <c r="Z239" s="642">
        <v>219.8</v>
      </c>
      <c r="AA239" s="642">
        <v>219.8</v>
      </c>
      <c r="AB239" s="642">
        <v>219.8</v>
      </c>
      <c r="AC239" s="643">
        <v>219.8</v>
      </c>
      <c r="AD239" s="672"/>
    </row>
    <row r="240" spans="1:37" ht="24.6" customHeight="1">
      <c r="A240" s="1018" t="s">
        <v>762</v>
      </c>
      <c r="B240" s="1034" t="s">
        <v>749</v>
      </c>
      <c r="C240" s="1034" t="s">
        <v>763</v>
      </c>
      <c r="D240" s="1043" t="s">
        <v>756</v>
      </c>
      <c r="E240" s="502" t="s">
        <v>517</v>
      </c>
      <c r="F240" s="539">
        <v>161.19999999999999</v>
      </c>
      <c r="G240" s="539">
        <v>161.19999999999999</v>
      </c>
      <c r="H240" s="539">
        <v>161.19999999999999</v>
      </c>
      <c r="I240" s="539">
        <v>161.19999999999999</v>
      </c>
      <c r="J240" s="539">
        <v>161.19999999999999</v>
      </c>
      <c r="K240" s="539">
        <v>161.19999999999999</v>
      </c>
      <c r="L240" s="539">
        <v>161.19999999999999</v>
      </c>
      <c r="M240" s="539">
        <v>161.19999999999999</v>
      </c>
      <c r="N240" s="539">
        <v>161.19999999999999</v>
      </c>
      <c r="O240" s="539">
        <v>161.19999999999999</v>
      </c>
      <c r="P240" s="539">
        <v>161.19999999999999</v>
      </c>
      <c r="Q240" s="539">
        <v>161.19999999999999</v>
      </c>
      <c r="R240" s="539">
        <v>161.19999999999999</v>
      </c>
      <c r="S240" s="539">
        <v>161.19999999999999</v>
      </c>
      <c r="T240" s="539">
        <v>161.19999999999999</v>
      </c>
      <c r="U240" s="539">
        <v>161.19999999999999</v>
      </c>
      <c r="V240" s="539">
        <v>161.19999999999999</v>
      </c>
      <c r="W240" s="539">
        <v>161.19999999999999</v>
      </c>
      <c r="X240" s="539">
        <v>161.19999999999999</v>
      </c>
      <c r="Y240" s="539">
        <v>161.19999999999999</v>
      </c>
      <c r="Z240" s="539">
        <v>161.19999999999999</v>
      </c>
      <c r="AA240" s="539">
        <v>161.19999999999999</v>
      </c>
      <c r="AB240" s="539">
        <v>161.19999999999999</v>
      </c>
      <c r="AC240" s="540">
        <v>161.19999999999999</v>
      </c>
    </row>
    <row r="241" spans="1:37" ht="24.6" customHeight="1">
      <c r="A241" s="1010"/>
      <c r="B241" s="1079"/>
      <c r="C241" s="1079"/>
      <c r="D241" s="1032"/>
      <c r="E241" s="503" t="s">
        <v>524</v>
      </c>
      <c r="F241" s="532">
        <v>161.19999999999999</v>
      </c>
      <c r="G241" s="532">
        <v>161.19999999999999</v>
      </c>
      <c r="H241" s="532">
        <v>161.19999999999999</v>
      </c>
      <c r="I241" s="532">
        <v>161.19999999999999</v>
      </c>
      <c r="J241" s="532">
        <v>161.19999999999999</v>
      </c>
      <c r="K241" s="532">
        <v>161.19999999999999</v>
      </c>
      <c r="L241" s="532">
        <v>161.19999999999999</v>
      </c>
      <c r="M241" s="532">
        <v>161.19999999999999</v>
      </c>
      <c r="N241" s="532">
        <v>161.19999999999999</v>
      </c>
      <c r="O241" s="532">
        <v>161.19999999999999</v>
      </c>
      <c r="P241" s="532">
        <v>161.19999999999999</v>
      </c>
      <c r="Q241" s="532">
        <v>161.19999999999999</v>
      </c>
      <c r="R241" s="532">
        <v>161.19999999999999</v>
      </c>
      <c r="S241" s="532">
        <v>161.19999999999999</v>
      </c>
      <c r="T241" s="532">
        <v>161.19999999999999</v>
      </c>
      <c r="U241" s="532">
        <v>161.19999999999999</v>
      </c>
      <c r="V241" s="532">
        <v>161.19999999999999</v>
      </c>
      <c r="W241" s="532">
        <v>161.19999999999999</v>
      </c>
      <c r="X241" s="532">
        <v>161.19999999999999</v>
      </c>
      <c r="Y241" s="532">
        <v>161.19999999999999</v>
      </c>
      <c r="Z241" s="532">
        <v>161.19999999999999</v>
      </c>
      <c r="AA241" s="532">
        <v>161.19999999999999</v>
      </c>
      <c r="AB241" s="532">
        <v>161.19999999999999</v>
      </c>
      <c r="AC241" s="533">
        <v>161.19999999999999</v>
      </c>
    </row>
    <row r="242" spans="1:37" ht="24.6" customHeight="1" thickBot="1">
      <c r="A242" s="1019"/>
      <c r="B242" s="1079"/>
      <c r="C242" s="1079"/>
      <c r="D242" s="1033"/>
      <c r="E242" s="517" t="s">
        <v>526</v>
      </c>
      <c r="F242" s="534">
        <v>161.19999999999999</v>
      </c>
      <c r="G242" s="534">
        <v>161.19999999999999</v>
      </c>
      <c r="H242" s="534">
        <v>161.19999999999999</v>
      </c>
      <c r="I242" s="534">
        <v>161.19999999999999</v>
      </c>
      <c r="J242" s="534">
        <v>161.19999999999999</v>
      </c>
      <c r="K242" s="534">
        <v>161.19999999999999</v>
      </c>
      <c r="L242" s="534">
        <v>161.19999999999999</v>
      </c>
      <c r="M242" s="534">
        <v>161.19999999999999</v>
      </c>
      <c r="N242" s="534">
        <v>161.19999999999999</v>
      </c>
      <c r="O242" s="534">
        <v>161.19999999999999</v>
      </c>
      <c r="P242" s="534">
        <v>161.19999999999999</v>
      </c>
      <c r="Q242" s="534">
        <v>161.19999999999999</v>
      </c>
      <c r="R242" s="534">
        <v>161.19999999999999</v>
      </c>
      <c r="S242" s="534">
        <v>161.19999999999999</v>
      </c>
      <c r="T242" s="534">
        <v>161.19999999999999</v>
      </c>
      <c r="U242" s="534">
        <v>161.19999999999999</v>
      </c>
      <c r="V242" s="534">
        <v>161.19999999999999</v>
      </c>
      <c r="W242" s="534">
        <v>161.19999999999999</v>
      </c>
      <c r="X242" s="534">
        <v>161.19999999999999</v>
      </c>
      <c r="Y242" s="534">
        <v>161.19999999999999</v>
      </c>
      <c r="Z242" s="534">
        <v>161.19999999999999</v>
      </c>
      <c r="AA242" s="534">
        <v>161.19999999999999</v>
      </c>
      <c r="AB242" s="534">
        <v>161.19999999999999</v>
      </c>
      <c r="AC242" s="535">
        <v>161.19999999999999</v>
      </c>
    </row>
    <row r="243" spans="1:37" ht="24.6" customHeight="1">
      <c r="A243" s="999" t="s">
        <v>727</v>
      </c>
      <c r="B243" s="1005" t="s">
        <v>749</v>
      </c>
      <c r="C243" s="1005" t="s">
        <v>764</v>
      </c>
      <c r="D243" s="1031" t="s">
        <v>756</v>
      </c>
      <c r="E243" s="564" t="s">
        <v>517</v>
      </c>
      <c r="F243" s="684">
        <v>131.9</v>
      </c>
      <c r="G243" s="684">
        <v>131.9</v>
      </c>
      <c r="H243" s="684">
        <v>131.9</v>
      </c>
      <c r="I243" s="684">
        <v>131.9</v>
      </c>
      <c r="J243" s="684">
        <v>131.9</v>
      </c>
      <c r="K243" s="684">
        <v>131.9</v>
      </c>
      <c r="L243" s="684">
        <v>131.9</v>
      </c>
      <c r="M243" s="684">
        <v>131.9</v>
      </c>
      <c r="N243" s="684">
        <v>131.9</v>
      </c>
      <c r="O243" s="684">
        <v>131.9</v>
      </c>
      <c r="P243" s="684">
        <v>131.9</v>
      </c>
      <c r="Q243" s="684">
        <v>131.9</v>
      </c>
      <c r="R243" s="684">
        <v>131.9</v>
      </c>
      <c r="S243" s="684">
        <v>131.9</v>
      </c>
      <c r="T243" s="684">
        <v>131.9</v>
      </c>
      <c r="U243" s="684">
        <v>131.9</v>
      </c>
      <c r="V243" s="684">
        <v>131.9</v>
      </c>
      <c r="W243" s="684">
        <v>131.9</v>
      </c>
      <c r="X243" s="684">
        <v>131.9</v>
      </c>
      <c r="Y243" s="684">
        <v>131.9</v>
      </c>
      <c r="Z243" s="684">
        <v>131.9</v>
      </c>
      <c r="AA243" s="684">
        <v>131.9</v>
      </c>
      <c r="AB243" s="684">
        <v>131.9</v>
      </c>
      <c r="AC243" s="685">
        <v>131.9</v>
      </c>
    </row>
    <row r="244" spans="1:37" ht="24.6" customHeight="1">
      <c r="A244" s="1025"/>
      <c r="B244" s="1079"/>
      <c r="C244" s="1079"/>
      <c r="D244" s="1032"/>
      <c r="E244" s="503" t="s">
        <v>524</v>
      </c>
      <c r="F244" s="532">
        <v>131.9</v>
      </c>
      <c r="G244" s="532">
        <v>131.9</v>
      </c>
      <c r="H244" s="532">
        <v>131.9</v>
      </c>
      <c r="I244" s="532">
        <v>131.9</v>
      </c>
      <c r="J244" s="532">
        <v>131.9</v>
      </c>
      <c r="K244" s="532">
        <v>131.9</v>
      </c>
      <c r="L244" s="532">
        <v>131.9</v>
      </c>
      <c r="M244" s="532">
        <v>131.9</v>
      </c>
      <c r="N244" s="532">
        <v>131.9</v>
      </c>
      <c r="O244" s="532">
        <v>131.9</v>
      </c>
      <c r="P244" s="532">
        <v>131.9</v>
      </c>
      <c r="Q244" s="532">
        <v>131.9</v>
      </c>
      <c r="R244" s="532">
        <v>131.9</v>
      </c>
      <c r="S244" s="532">
        <v>131.9</v>
      </c>
      <c r="T244" s="532">
        <v>131.9</v>
      </c>
      <c r="U244" s="532">
        <v>131.9</v>
      </c>
      <c r="V244" s="532">
        <v>131.9</v>
      </c>
      <c r="W244" s="532">
        <v>131.9</v>
      </c>
      <c r="X244" s="532">
        <v>131.9</v>
      </c>
      <c r="Y244" s="532">
        <v>131.9</v>
      </c>
      <c r="Z244" s="532">
        <v>131.9</v>
      </c>
      <c r="AA244" s="532">
        <v>131.9</v>
      </c>
      <c r="AB244" s="532">
        <v>131.9</v>
      </c>
      <c r="AC244" s="667">
        <v>131.9</v>
      </c>
    </row>
    <row r="245" spans="1:37" ht="24.6" customHeight="1" thickBot="1">
      <c r="A245" s="1035"/>
      <c r="B245" s="1081"/>
      <c r="C245" s="1081"/>
      <c r="D245" s="1082"/>
      <c r="E245" s="568" t="s">
        <v>526</v>
      </c>
      <c r="F245" s="669">
        <v>131.9</v>
      </c>
      <c r="G245" s="669">
        <v>131.9</v>
      </c>
      <c r="H245" s="669">
        <v>131.9</v>
      </c>
      <c r="I245" s="669">
        <v>131.9</v>
      </c>
      <c r="J245" s="669">
        <v>131.9</v>
      </c>
      <c r="K245" s="669">
        <v>131.9</v>
      </c>
      <c r="L245" s="669">
        <v>131.9</v>
      </c>
      <c r="M245" s="669">
        <v>131.9</v>
      </c>
      <c r="N245" s="669">
        <v>131.9</v>
      </c>
      <c r="O245" s="669">
        <v>131.9</v>
      </c>
      <c r="P245" s="669">
        <v>131.9</v>
      </c>
      <c r="Q245" s="669">
        <v>131.9</v>
      </c>
      <c r="R245" s="669">
        <v>131.9</v>
      </c>
      <c r="S245" s="669">
        <v>131.9</v>
      </c>
      <c r="T245" s="669">
        <v>131.9</v>
      </c>
      <c r="U245" s="669">
        <v>131.9</v>
      </c>
      <c r="V245" s="669">
        <v>131.9</v>
      </c>
      <c r="W245" s="669">
        <v>131.9</v>
      </c>
      <c r="X245" s="669">
        <v>131.9</v>
      </c>
      <c r="Y245" s="669">
        <v>131.9</v>
      </c>
      <c r="Z245" s="669">
        <v>131.9</v>
      </c>
      <c r="AA245" s="669">
        <v>131.9</v>
      </c>
      <c r="AB245" s="669">
        <v>131.9</v>
      </c>
      <c r="AC245" s="670">
        <v>131.9</v>
      </c>
    </row>
    <row r="246" spans="1:37" ht="21.6" customHeight="1">
      <c r="A246" s="637"/>
      <c r="B246" s="637"/>
      <c r="C246" s="637"/>
      <c r="D246" s="637"/>
      <c r="F246" s="671"/>
      <c r="G246" s="671"/>
      <c r="H246" s="671"/>
      <c r="I246" s="671"/>
      <c r="J246" s="671"/>
      <c r="K246" s="671"/>
      <c r="L246" s="671"/>
      <c r="M246" s="671"/>
      <c r="N246" s="671"/>
      <c r="O246" s="671"/>
      <c r="P246" s="671"/>
      <c r="Q246" s="671"/>
      <c r="R246" s="671"/>
      <c r="S246" s="671"/>
      <c r="T246" s="671"/>
      <c r="U246" s="671"/>
      <c r="V246" s="671"/>
      <c r="W246" s="671"/>
      <c r="X246" s="671"/>
      <c r="Y246" s="671"/>
      <c r="Z246" s="671"/>
      <c r="AA246" s="671"/>
      <c r="AB246" s="671"/>
      <c r="AC246" s="671"/>
    </row>
    <row r="247" spans="1:37" ht="21.6" customHeight="1">
      <c r="A247" s="637"/>
      <c r="B247" s="637"/>
      <c r="C247" s="637"/>
      <c r="D247" s="637"/>
      <c r="F247" s="671"/>
      <c r="G247" s="671"/>
      <c r="H247" s="671"/>
      <c r="I247" s="671"/>
      <c r="J247" s="671"/>
      <c r="K247" s="671"/>
      <c r="L247" s="671"/>
      <c r="M247" s="671"/>
      <c r="N247" s="671"/>
      <c r="O247" s="671"/>
      <c r="P247" s="671"/>
      <c r="Q247" s="671"/>
      <c r="R247" s="671"/>
      <c r="S247" s="671"/>
      <c r="T247" s="671"/>
      <c r="U247" s="671"/>
      <c r="V247" s="671"/>
      <c r="W247" s="671"/>
      <c r="X247" s="671"/>
      <c r="Y247" s="671"/>
      <c r="Z247" s="671"/>
      <c r="AA247" s="671"/>
      <c r="AB247" s="671"/>
      <c r="AC247" s="671"/>
    </row>
    <row r="248" spans="1:37" ht="21.6" customHeight="1">
      <c r="A248" s="637"/>
      <c r="B248" s="637"/>
      <c r="C248" s="637"/>
      <c r="D248" s="637"/>
      <c r="F248" s="671"/>
      <c r="G248" s="671"/>
      <c r="H248" s="671"/>
      <c r="I248" s="671"/>
      <c r="J248" s="671"/>
      <c r="K248" s="671"/>
      <c r="L248" s="671"/>
      <c r="M248" s="671"/>
      <c r="N248" s="671"/>
      <c r="O248" s="671"/>
      <c r="P248" s="671"/>
      <c r="Q248" s="671"/>
      <c r="R248" s="671"/>
      <c r="S248" s="671"/>
      <c r="T248" s="671"/>
      <c r="U248" s="671"/>
      <c r="V248" s="671"/>
      <c r="W248" s="671"/>
      <c r="X248" s="671"/>
      <c r="Y248" s="671"/>
      <c r="Z248" s="671"/>
      <c r="AA248" s="671"/>
      <c r="AB248" s="671"/>
      <c r="AC248" s="671"/>
    </row>
    <row r="249" spans="1:37" ht="21.6" customHeight="1">
      <c r="A249" s="637"/>
      <c r="B249" s="637"/>
      <c r="C249" s="637"/>
      <c r="D249" s="637"/>
      <c r="F249" s="671"/>
      <c r="G249" s="671"/>
      <c r="H249" s="671"/>
      <c r="I249" s="671"/>
      <c r="J249" s="671"/>
      <c r="K249" s="671"/>
      <c r="L249" s="671"/>
      <c r="M249" s="671"/>
      <c r="N249" s="671"/>
      <c r="O249" s="671"/>
      <c r="P249" s="671"/>
      <c r="Q249" s="671"/>
      <c r="R249" s="671"/>
      <c r="S249" s="671"/>
      <c r="T249" s="671"/>
      <c r="U249" s="671"/>
      <c r="V249" s="671"/>
      <c r="W249" s="671"/>
      <c r="X249" s="671"/>
      <c r="Y249" s="671"/>
      <c r="Z249" s="671"/>
      <c r="AA249" s="671"/>
      <c r="AB249" s="671"/>
      <c r="AC249" s="671"/>
    </row>
    <row r="251" spans="1:37" s="51" customFormat="1" ht="21.6" hidden="1" customHeight="1" thickBot="1">
      <c r="A251" s="801" t="s">
        <v>95</v>
      </c>
      <c r="C251" s="127"/>
      <c r="D251" s="127"/>
      <c r="E251" s="127"/>
      <c r="F251" s="127"/>
      <c r="G251" s="127"/>
    </row>
    <row r="252" spans="1:37" s="468" customFormat="1" ht="21.6" hidden="1" customHeight="1">
      <c r="A252" s="1076" t="s">
        <v>132</v>
      </c>
      <c r="B252" s="1034" t="s">
        <v>749</v>
      </c>
      <c r="C252" s="1034" t="s">
        <v>765</v>
      </c>
      <c r="D252" s="1043" t="s">
        <v>766</v>
      </c>
      <c r="E252" s="732" t="s">
        <v>517</v>
      </c>
      <c r="F252" s="733">
        <f>Data!$Q$85*F234+Data!$Q$86*F234+Data!$Q$87*F237+Data!$Q$88*F228</f>
        <v>160.46</v>
      </c>
      <c r="G252" s="733">
        <f>Data!$Q$85*G234+Data!$Q$86*G234+Data!$Q$87*G237+Data!$Q$88*G228</f>
        <v>160.46</v>
      </c>
      <c r="H252" s="733">
        <f>Data!$Q$85*H234+Data!$Q$86*H234+Data!$Q$87*H237+Data!$Q$88*H228</f>
        <v>160.46</v>
      </c>
      <c r="I252" s="733">
        <f>Data!$Q$85*I234+Data!$Q$86*I234+Data!$Q$87*I237+Data!$Q$88*I228</f>
        <v>160.46</v>
      </c>
      <c r="J252" s="733">
        <f>Data!$Q$85*J234+Data!$Q$86*J234+Data!$Q$87*J237+Data!$Q$88*J228</f>
        <v>160.46</v>
      </c>
      <c r="K252" s="733">
        <f>Data!$Q$85*K234+Data!$Q$86*K234+Data!$Q$87*K237+Data!$Q$88*K228</f>
        <v>160.46</v>
      </c>
      <c r="L252" s="733">
        <f>Data!$Q$85*L234+Data!$Q$86*L234+Data!$Q$87*L237+Data!$Q$88*L228</f>
        <v>160.46</v>
      </c>
      <c r="M252" s="733">
        <f>Data!$Q$85*M234+Data!$Q$86*M234+Data!$Q$87*M237+Data!$Q$88*M228</f>
        <v>160.46</v>
      </c>
      <c r="N252" s="733">
        <f>Data!$Q$85*N234+Data!$Q$86*N234+Data!$Q$87*N237+Data!$Q$88*N228</f>
        <v>160.46</v>
      </c>
      <c r="O252" s="733">
        <f>Data!$Q$85*O234+Data!$Q$86*O234+Data!$Q$87*O237+Data!$Q$88*O228</f>
        <v>160.46</v>
      </c>
      <c r="P252" s="733">
        <f>Data!$Q$85*P234+Data!$Q$86*P234+Data!$Q$87*P237+Data!$Q$88*P228</f>
        <v>160.46</v>
      </c>
      <c r="Q252" s="733">
        <f>Data!$Q$85*Q234+Data!$Q$86*Q234+Data!$Q$87*Q237+Data!$Q$88*Q228</f>
        <v>160.46</v>
      </c>
      <c r="R252" s="733">
        <f>Data!$Q$85*R234+Data!$Q$86*R234+Data!$Q$87*R237+Data!$Q$88*R228</f>
        <v>160.46</v>
      </c>
      <c r="S252" s="733">
        <f>Data!$Q$85*S234+Data!$Q$86*S234+Data!$Q$87*S237+Data!$Q$88*S228</f>
        <v>160.46</v>
      </c>
      <c r="T252" s="733">
        <f>Data!$Q$85*T234+Data!$Q$86*T234+Data!$Q$87*T237+Data!$Q$88*T228</f>
        <v>160.46</v>
      </c>
      <c r="U252" s="733">
        <f>Data!$Q$85*U234+Data!$Q$86*U234+Data!$Q$87*U237+Data!$Q$88*U228</f>
        <v>160.46</v>
      </c>
      <c r="V252" s="733">
        <f>Data!$Q$85*V234+Data!$Q$86*V234+Data!$Q$87*V237+Data!$Q$88*V228</f>
        <v>160.46</v>
      </c>
      <c r="W252" s="733">
        <f>Data!$Q$85*W234+Data!$Q$86*W234+Data!$Q$87*W237+Data!$Q$88*W228</f>
        <v>160.46</v>
      </c>
      <c r="X252" s="733">
        <f>Data!$Q$85*X234+Data!$Q$86*X234+Data!$Q$87*X237+Data!$Q$88*X228</f>
        <v>160.46</v>
      </c>
      <c r="Y252" s="733">
        <f>Data!$Q$85*Y234+Data!$Q$86*Y234+Data!$Q$87*Y237+Data!$Q$88*Y228</f>
        <v>160.46</v>
      </c>
      <c r="Z252" s="733">
        <f>Data!$Q$85*Z234+Data!$Q$86*Z234+Data!$Q$87*Z237+Data!$Q$88*Z228</f>
        <v>160.46</v>
      </c>
      <c r="AA252" s="733">
        <f>Data!$Q$85*AA234+Data!$Q$86*AA234+Data!$Q$87*AA237+Data!$Q$88*AA228</f>
        <v>160.46</v>
      </c>
      <c r="AB252" s="733">
        <f>Data!$Q$85*AB234+Data!$Q$86*AB234+Data!$Q$87*AB237+Data!$Q$88*AB228</f>
        <v>160.46</v>
      </c>
      <c r="AC252" s="734">
        <f>Data!$Q$85*AC234+Data!$Q$86*AC234+Data!$Q$87*AC237+Data!$Q$88*AC228</f>
        <v>160.46</v>
      </c>
    </row>
    <row r="253" spans="1:37" s="468" customFormat="1" ht="21.6" hidden="1" customHeight="1">
      <c r="A253" s="1077"/>
      <c r="B253" s="1079"/>
      <c r="C253" s="1079"/>
      <c r="D253" s="1032"/>
      <c r="E253" s="735" t="s">
        <v>524</v>
      </c>
      <c r="F253" s="731">
        <f>Data!$Q$85*F235+Data!$Q$86*F235+Data!$Q$87*F238+Data!$Q$88*F229</f>
        <v>160.46</v>
      </c>
      <c r="G253" s="731">
        <f>Data!$Q$85*G235+Data!$Q$86*G235+Data!$Q$87*G238+Data!$Q$88*G229</f>
        <v>160.46</v>
      </c>
      <c r="H253" s="731">
        <f>Data!$Q$85*H235+Data!$Q$86*H235+Data!$Q$87*H238+Data!$Q$88*H229</f>
        <v>160.46</v>
      </c>
      <c r="I253" s="731">
        <f>Data!$Q$85*I235+Data!$Q$86*I235+Data!$Q$87*I238+Data!$Q$88*I229</f>
        <v>160.46</v>
      </c>
      <c r="J253" s="731">
        <f>Data!$Q$85*J235+Data!$Q$86*J235+Data!$Q$87*J238+Data!$Q$88*J229</f>
        <v>160.46</v>
      </c>
      <c r="K253" s="731">
        <f>Data!$Q$85*K235+Data!$Q$86*K235+Data!$Q$87*K238+Data!$Q$88*K229</f>
        <v>160.46</v>
      </c>
      <c r="L253" s="731">
        <f>Data!$Q$85*L235+Data!$Q$86*L235+Data!$Q$87*L238+Data!$Q$88*L229</f>
        <v>160.46</v>
      </c>
      <c r="M253" s="731">
        <f>Data!$Q$85*M235+Data!$Q$86*M235+Data!$Q$87*M238+Data!$Q$88*M229</f>
        <v>160.46</v>
      </c>
      <c r="N253" s="731">
        <f>Data!$Q$85*N235+Data!$Q$86*N235+Data!$Q$87*N238+Data!$Q$88*N229</f>
        <v>160.46</v>
      </c>
      <c r="O253" s="731">
        <f>Data!$Q$85*O235+Data!$Q$86*O235+Data!$Q$87*O238+Data!$Q$88*O229</f>
        <v>160.46</v>
      </c>
      <c r="P253" s="731">
        <f>Data!$Q$85*P235+Data!$Q$86*P235+Data!$Q$87*P238+Data!$Q$88*P229</f>
        <v>160.46</v>
      </c>
      <c r="Q253" s="731">
        <f>Data!$Q$85*Q235+Data!$Q$86*Q235+Data!$Q$87*Q238+Data!$Q$88*Q229</f>
        <v>160.46</v>
      </c>
      <c r="R253" s="731">
        <f>Data!$Q$85*R235+Data!$Q$86*R235+Data!$Q$87*R238+Data!$Q$88*R229</f>
        <v>160.46</v>
      </c>
      <c r="S253" s="731">
        <f>Data!$Q$85*S235+Data!$Q$86*S235+Data!$Q$87*S238+Data!$Q$88*S229</f>
        <v>160.46</v>
      </c>
      <c r="T253" s="731">
        <f>Data!$Q$85*T235+Data!$Q$86*T235+Data!$Q$87*T238+Data!$Q$88*T229</f>
        <v>160.46</v>
      </c>
      <c r="U253" s="731">
        <f>Data!$Q$85*U235+Data!$Q$86*U235+Data!$Q$87*U238+Data!$Q$88*U229</f>
        <v>160.46</v>
      </c>
      <c r="V253" s="731">
        <f>Data!$Q$85*V235+Data!$Q$86*V235+Data!$Q$87*V238+Data!$Q$88*V229</f>
        <v>160.46</v>
      </c>
      <c r="W253" s="731">
        <f>Data!$Q$85*W235+Data!$Q$86*W235+Data!$Q$87*W238+Data!$Q$88*W229</f>
        <v>160.46</v>
      </c>
      <c r="X253" s="731">
        <f>Data!$Q$85*X235+Data!$Q$86*X235+Data!$Q$87*X238+Data!$Q$88*X229</f>
        <v>160.46</v>
      </c>
      <c r="Y253" s="731">
        <f>Data!$Q$85*Y235+Data!$Q$86*Y235+Data!$Q$87*Y238+Data!$Q$88*Y229</f>
        <v>160.46</v>
      </c>
      <c r="Z253" s="731">
        <f>Data!$Q$85*Z235+Data!$Q$86*Z235+Data!$Q$87*Z238+Data!$Q$88*Z229</f>
        <v>160.46</v>
      </c>
      <c r="AA253" s="731">
        <f>Data!$Q$85*AA235+Data!$Q$86*AA235+Data!$Q$87*AA238+Data!$Q$88*AA229</f>
        <v>160.46</v>
      </c>
      <c r="AB253" s="731">
        <f>Data!$Q$85*AB235+Data!$Q$86*AB235+Data!$Q$87*AB238+Data!$Q$88*AB229</f>
        <v>160.46</v>
      </c>
      <c r="AC253" s="736">
        <f>Data!$Q$85*AC235+Data!$Q$86*AC235+Data!$Q$87*AC238+Data!$Q$88*AC229</f>
        <v>160.46</v>
      </c>
    </row>
    <row r="254" spans="1:37" s="468" customFormat="1" ht="21.6" hidden="1" customHeight="1" thickBot="1">
      <c r="A254" s="1078"/>
      <c r="B254" s="1080"/>
      <c r="C254" s="1081"/>
      <c r="D254" s="1044"/>
      <c r="E254" s="737" t="s">
        <v>526</v>
      </c>
      <c r="F254" s="738">
        <f>Data!$Q$85*F236+Data!$Q$86*F236+Data!$Q$87*F239+Data!$Q$88*F230</f>
        <v>160.46</v>
      </c>
      <c r="G254" s="738">
        <f>Data!$Q$85*G236+Data!$Q$86*G236+Data!$Q$87*G239+Data!$Q$88*G230</f>
        <v>160.46</v>
      </c>
      <c r="H254" s="738">
        <f>Data!$Q$85*H236+Data!$Q$86*H236+Data!$Q$87*H239+Data!$Q$88*H230</f>
        <v>160.46</v>
      </c>
      <c r="I254" s="738">
        <f>Data!$Q$85*I236+Data!$Q$86*I236+Data!$Q$87*I239+Data!$Q$88*I230</f>
        <v>160.46</v>
      </c>
      <c r="J254" s="738">
        <f>Data!$Q$85*J236+Data!$Q$86*J236+Data!$Q$87*J239+Data!$Q$88*J230</f>
        <v>160.46</v>
      </c>
      <c r="K254" s="738">
        <f>Data!$Q$85*K236+Data!$Q$86*K236+Data!$Q$87*K239+Data!$Q$88*K230</f>
        <v>160.46</v>
      </c>
      <c r="L254" s="738">
        <f>Data!$Q$85*L236+Data!$Q$86*L236+Data!$Q$87*L239+Data!$Q$88*L230</f>
        <v>160.46</v>
      </c>
      <c r="M254" s="738">
        <f>Data!$Q$85*M236+Data!$Q$86*M236+Data!$Q$87*M239+Data!$Q$88*M230</f>
        <v>160.46</v>
      </c>
      <c r="N254" s="738">
        <f>Data!$Q$85*N236+Data!$Q$86*N236+Data!$Q$87*N239+Data!$Q$88*N230</f>
        <v>160.46</v>
      </c>
      <c r="O254" s="738">
        <f>Data!$Q$85*O236+Data!$Q$86*O236+Data!$Q$87*O239+Data!$Q$88*O230</f>
        <v>160.46</v>
      </c>
      <c r="P254" s="738">
        <f>Data!$Q$85*P236+Data!$Q$86*P236+Data!$Q$87*P239+Data!$Q$88*P230</f>
        <v>160.46</v>
      </c>
      <c r="Q254" s="738">
        <f>Data!$Q$85*Q236+Data!$Q$86*Q236+Data!$Q$87*Q239+Data!$Q$88*Q230</f>
        <v>160.46</v>
      </c>
      <c r="R254" s="738">
        <f>Data!$Q$85*R236+Data!$Q$86*R236+Data!$Q$87*R239+Data!$Q$88*R230</f>
        <v>160.46</v>
      </c>
      <c r="S254" s="738">
        <f>Data!$Q$85*S236+Data!$Q$86*S236+Data!$Q$87*S239+Data!$Q$88*S230</f>
        <v>160.46</v>
      </c>
      <c r="T254" s="738">
        <f>Data!$Q$85*T236+Data!$Q$86*T236+Data!$Q$87*T239+Data!$Q$88*T230</f>
        <v>160.46</v>
      </c>
      <c r="U254" s="738">
        <f>Data!$Q$85*U236+Data!$Q$86*U236+Data!$Q$87*U239+Data!$Q$88*U230</f>
        <v>160.46</v>
      </c>
      <c r="V254" s="738">
        <f>Data!$Q$85*V236+Data!$Q$86*V236+Data!$Q$87*V239+Data!$Q$88*V230</f>
        <v>160.46</v>
      </c>
      <c r="W254" s="738">
        <f>Data!$Q$85*W236+Data!$Q$86*W236+Data!$Q$87*W239+Data!$Q$88*W230</f>
        <v>160.46</v>
      </c>
      <c r="X254" s="738">
        <f>Data!$Q$85*X236+Data!$Q$86*X236+Data!$Q$87*X239+Data!$Q$88*X230</f>
        <v>160.46</v>
      </c>
      <c r="Y254" s="738">
        <f>Data!$Q$85*Y236+Data!$Q$86*Y236+Data!$Q$87*Y239+Data!$Q$88*Y230</f>
        <v>160.46</v>
      </c>
      <c r="Z254" s="738">
        <f>Data!$Q$85*Z236+Data!$Q$86*Z236+Data!$Q$87*Z239+Data!$Q$88*Z230</f>
        <v>160.46</v>
      </c>
      <c r="AA254" s="738">
        <f>Data!$Q$85*AA236+Data!$Q$86*AA236+Data!$Q$87*AA239+Data!$Q$88*AA230</f>
        <v>160.46</v>
      </c>
      <c r="AB254" s="738">
        <f>Data!$Q$85*AB236+Data!$Q$86*AB236+Data!$Q$87*AB239+Data!$Q$88*AB230</f>
        <v>160.46</v>
      </c>
      <c r="AC254" s="739">
        <f>Data!$Q$85*AC236+Data!$Q$86*AC236+Data!$Q$87*AC239+Data!$Q$88*AC230</f>
        <v>160.46</v>
      </c>
    </row>
    <row r="255" spans="1:37" s="468" customFormat="1" ht="21.6" hidden="1" customHeight="1" thickBot="1">
      <c r="A255" s="806"/>
      <c r="C255" s="494"/>
      <c r="D255" s="494"/>
      <c r="E255" s="494"/>
      <c r="F255" s="494"/>
      <c r="G255" s="494"/>
    </row>
    <row r="256" spans="1:37" ht="25.15" hidden="1" customHeight="1">
      <c r="A256" s="999" t="s">
        <v>705</v>
      </c>
      <c r="B256" s="1005" t="s">
        <v>767</v>
      </c>
      <c r="C256" s="1074" t="s">
        <v>706</v>
      </c>
      <c r="D256" s="1040" t="s">
        <v>709</v>
      </c>
      <c r="E256" s="564" t="s">
        <v>517</v>
      </c>
      <c r="F256" s="565">
        <v>0.9</v>
      </c>
      <c r="G256" s="565">
        <v>0.9</v>
      </c>
      <c r="H256" s="565">
        <v>0.9</v>
      </c>
      <c r="I256" s="565">
        <v>0.9</v>
      </c>
      <c r="J256" s="565">
        <v>0.9</v>
      </c>
      <c r="K256" s="565">
        <v>0.9</v>
      </c>
      <c r="L256" s="565">
        <v>0.7</v>
      </c>
      <c r="M256" s="565">
        <v>0.4</v>
      </c>
      <c r="N256" s="565">
        <v>0.4</v>
      </c>
      <c r="O256" s="565">
        <v>0.2</v>
      </c>
      <c r="P256" s="565">
        <v>0.2</v>
      </c>
      <c r="Q256" s="565">
        <v>0.2</v>
      </c>
      <c r="R256" s="565">
        <v>0.2</v>
      </c>
      <c r="S256" s="565">
        <v>0.2</v>
      </c>
      <c r="T256" s="565">
        <v>0.2</v>
      </c>
      <c r="U256" s="565">
        <v>0.3</v>
      </c>
      <c r="V256" s="565">
        <v>0.5</v>
      </c>
      <c r="W256" s="565">
        <v>0.5</v>
      </c>
      <c r="X256" s="565">
        <v>0.5</v>
      </c>
      <c r="Y256" s="565">
        <v>0.7</v>
      </c>
      <c r="Z256" s="565">
        <v>0.7</v>
      </c>
      <c r="AA256" s="565">
        <v>0.8</v>
      </c>
      <c r="AB256" s="565">
        <v>0.9</v>
      </c>
      <c r="AC256" s="566">
        <v>0.9</v>
      </c>
      <c r="AD256" s="41"/>
      <c r="AE256" s="41"/>
      <c r="AF256" s="41"/>
      <c r="AG256" s="41"/>
      <c r="AH256" s="41"/>
      <c r="AI256" s="41"/>
      <c r="AJ256" s="41"/>
      <c r="AK256" s="41"/>
    </row>
    <row r="257" spans="1:39" ht="25.15" hidden="1" customHeight="1">
      <c r="A257" s="1000"/>
      <c r="B257" s="1003"/>
      <c r="C257" s="1061"/>
      <c r="D257" s="1041"/>
      <c r="E257" s="503" t="s">
        <v>524</v>
      </c>
      <c r="F257" s="496">
        <v>0.9</v>
      </c>
      <c r="G257" s="496">
        <v>0.9</v>
      </c>
      <c r="H257" s="496">
        <v>0.9</v>
      </c>
      <c r="I257" s="496">
        <v>0.9</v>
      </c>
      <c r="J257" s="496">
        <v>0.9</v>
      </c>
      <c r="K257" s="496">
        <v>0.9</v>
      </c>
      <c r="L257" s="496">
        <v>0.7</v>
      </c>
      <c r="M257" s="496">
        <v>0.5</v>
      </c>
      <c r="N257" s="496">
        <v>0.5</v>
      </c>
      <c r="O257" s="496">
        <v>0.3</v>
      </c>
      <c r="P257" s="496">
        <v>0.3</v>
      </c>
      <c r="Q257" s="496">
        <v>0.3</v>
      </c>
      <c r="R257" s="496">
        <v>0.3</v>
      </c>
      <c r="S257" s="496">
        <v>0.3</v>
      </c>
      <c r="T257" s="496">
        <v>0.3</v>
      </c>
      <c r="U257" s="496">
        <v>0.3</v>
      </c>
      <c r="V257" s="496">
        <v>0.3</v>
      </c>
      <c r="W257" s="496">
        <v>0.5</v>
      </c>
      <c r="X257" s="496">
        <v>0.6</v>
      </c>
      <c r="Y257" s="496">
        <v>0.6</v>
      </c>
      <c r="Z257" s="496">
        <v>0.6</v>
      </c>
      <c r="AA257" s="496">
        <v>0.7</v>
      </c>
      <c r="AB257" s="496">
        <v>0.7</v>
      </c>
      <c r="AC257" s="567">
        <v>0.7</v>
      </c>
      <c r="AD257" s="41"/>
      <c r="AE257" s="41"/>
      <c r="AF257" s="41"/>
      <c r="AG257" s="41"/>
      <c r="AH257" s="41"/>
      <c r="AI257" s="41"/>
      <c r="AJ257" s="41"/>
      <c r="AK257" s="41"/>
    </row>
    <row r="258" spans="1:39" ht="25.15" hidden="1" customHeight="1" thickBot="1">
      <c r="A258" s="1001"/>
      <c r="B258" s="1004"/>
      <c r="C258" s="1075"/>
      <c r="D258" s="1042"/>
      <c r="E258" s="568" t="s">
        <v>526</v>
      </c>
      <c r="F258" s="569">
        <v>0.7</v>
      </c>
      <c r="G258" s="569">
        <v>0.7</v>
      </c>
      <c r="H258" s="569">
        <v>0.7</v>
      </c>
      <c r="I258" s="569">
        <v>0.7</v>
      </c>
      <c r="J258" s="569">
        <v>0.7</v>
      </c>
      <c r="K258" s="569">
        <v>0.7</v>
      </c>
      <c r="L258" s="569">
        <v>0.7</v>
      </c>
      <c r="M258" s="569">
        <v>0.7</v>
      </c>
      <c r="N258" s="569">
        <v>0.5</v>
      </c>
      <c r="O258" s="569">
        <v>0.5</v>
      </c>
      <c r="P258" s="569">
        <v>0.5</v>
      </c>
      <c r="Q258" s="569">
        <v>0.3</v>
      </c>
      <c r="R258" s="569">
        <v>0.3</v>
      </c>
      <c r="S258" s="569">
        <v>0.2</v>
      </c>
      <c r="T258" s="569">
        <v>0.2</v>
      </c>
      <c r="U258" s="569">
        <v>0.2</v>
      </c>
      <c r="V258" s="569">
        <v>0.3</v>
      </c>
      <c r="W258" s="569">
        <v>0.4</v>
      </c>
      <c r="X258" s="569">
        <v>0.4</v>
      </c>
      <c r="Y258" s="569">
        <v>0.6</v>
      </c>
      <c r="Z258" s="569">
        <v>0.6</v>
      </c>
      <c r="AA258" s="569">
        <v>0.8</v>
      </c>
      <c r="AB258" s="569">
        <v>0.8</v>
      </c>
      <c r="AC258" s="570">
        <v>0.8</v>
      </c>
      <c r="AD258" s="41"/>
      <c r="AE258" s="41"/>
      <c r="AF258" s="41"/>
      <c r="AG258" s="41"/>
      <c r="AH258" s="41"/>
      <c r="AI258" s="41"/>
      <c r="AJ258" s="41"/>
      <c r="AK258" s="41"/>
    </row>
    <row r="259" spans="1:39" ht="38.65" hidden="1" customHeight="1">
      <c r="A259" s="1057" t="str">
        <f>A256</f>
        <v>Service and Back Up prep in Basement</v>
      </c>
      <c r="B259" s="1029" t="str">
        <f>B256</f>
        <v>LargeHotelBasemet</v>
      </c>
      <c r="C259" s="1060" t="s">
        <v>708</v>
      </c>
      <c r="D259" s="1055" t="s">
        <v>709</v>
      </c>
      <c r="E259" s="505" t="s">
        <v>517</v>
      </c>
      <c r="F259" s="518">
        <v>0.2</v>
      </c>
      <c r="G259" s="518">
        <v>0.15</v>
      </c>
      <c r="H259" s="518">
        <v>0.1</v>
      </c>
      <c r="I259" s="518">
        <v>0.1</v>
      </c>
      <c r="J259" s="518">
        <v>0.1</v>
      </c>
      <c r="K259" s="518">
        <v>0.2</v>
      </c>
      <c r="L259" s="518">
        <v>0.4</v>
      </c>
      <c r="M259" s="518">
        <v>0.5</v>
      </c>
      <c r="N259" s="518">
        <v>0.4</v>
      </c>
      <c r="O259" s="518">
        <v>0.4</v>
      </c>
      <c r="P259" s="518">
        <v>0.25</v>
      </c>
      <c r="Q259" s="518">
        <v>0.25</v>
      </c>
      <c r="R259" s="518">
        <v>0.25</v>
      </c>
      <c r="S259" s="518">
        <v>0.25</v>
      </c>
      <c r="T259" s="518">
        <v>0.25</v>
      </c>
      <c r="U259" s="518">
        <v>0.25</v>
      </c>
      <c r="V259" s="518">
        <v>0.25</v>
      </c>
      <c r="W259" s="518">
        <v>0.25</v>
      </c>
      <c r="X259" s="518">
        <v>0.6</v>
      </c>
      <c r="Y259" s="518">
        <v>0.8</v>
      </c>
      <c r="Z259" s="518">
        <v>0.9</v>
      </c>
      <c r="AA259" s="518">
        <v>0.8</v>
      </c>
      <c r="AB259" s="518">
        <v>0.6</v>
      </c>
      <c r="AC259" s="519">
        <v>0.3</v>
      </c>
      <c r="AD259" s="41"/>
      <c r="AE259" s="41"/>
      <c r="AF259" s="41"/>
      <c r="AG259" s="41"/>
      <c r="AH259" s="41"/>
      <c r="AI259" s="41"/>
      <c r="AJ259" s="41"/>
      <c r="AK259" s="41"/>
      <c r="AM259" s="52"/>
    </row>
    <row r="260" spans="1:39" ht="38.65" hidden="1" customHeight="1">
      <c r="A260" s="1058"/>
      <c r="B260" s="1003"/>
      <c r="C260" s="1061"/>
      <c r="D260" s="1041"/>
      <c r="E260" s="503" t="s">
        <v>524</v>
      </c>
      <c r="F260" s="496">
        <v>0.2</v>
      </c>
      <c r="G260" s="496">
        <v>0.2</v>
      </c>
      <c r="H260" s="496">
        <v>0.1</v>
      </c>
      <c r="I260" s="496">
        <v>0.1</v>
      </c>
      <c r="J260" s="496">
        <v>0.1</v>
      </c>
      <c r="K260" s="496">
        <v>0.1</v>
      </c>
      <c r="L260" s="496">
        <v>0.3</v>
      </c>
      <c r="M260" s="496">
        <v>0.3</v>
      </c>
      <c r="N260" s="496">
        <v>0.4</v>
      </c>
      <c r="O260" s="496">
        <v>0.4</v>
      </c>
      <c r="P260" s="496">
        <v>0.3</v>
      </c>
      <c r="Q260" s="496">
        <v>0.25</v>
      </c>
      <c r="R260" s="496">
        <v>0.25</v>
      </c>
      <c r="S260" s="496">
        <v>0.25</v>
      </c>
      <c r="T260" s="496">
        <v>0.25</v>
      </c>
      <c r="U260" s="496">
        <v>0.25</v>
      </c>
      <c r="V260" s="496">
        <v>0.25</v>
      </c>
      <c r="W260" s="496">
        <v>0.25</v>
      </c>
      <c r="X260" s="496">
        <v>0.6</v>
      </c>
      <c r="Y260" s="496">
        <v>0.7</v>
      </c>
      <c r="Z260" s="496">
        <v>0.7</v>
      </c>
      <c r="AA260" s="496">
        <v>0.7</v>
      </c>
      <c r="AB260" s="496">
        <v>0.6</v>
      </c>
      <c r="AC260" s="499">
        <v>0.3</v>
      </c>
      <c r="AD260" s="41"/>
      <c r="AE260" s="41"/>
      <c r="AF260" s="41"/>
      <c r="AG260" s="41"/>
      <c r="AH260" s="41"/>
      <c r="AI260" s="41"/>
      <c r="AJ260" s="41"/>
      <c r="AK260" s="41"/>
      <c r="AM260" s="52"/>
    </row>
    <row r="261" spans="1:39" ht="38.65" hidden="1" customHeight="1" thickBot="1">
      <c r="A261" s="1059"/>
      <c r="B261" s="1036"/>
      <c r="C261" s="1062"/>
      <c r="D261" s="1056"/>
      <c r="E261" s="504" t="s">
        <v>526</v>
      </c>
      <c r="F261" s="500">
        <v>0.3</v>
      </c>
      <c r="G261" s="500">
        <v>0.3</v>
      </c>
      <c r="H261" s="500">
        <v>0.2</v>
      </c>
      <c r="I261" s="500">
        <v>0.2</v>
      </c>
      <c r="J261" s="500">
        <v>0.2</v>
      </c>
      <c r="K261" s="500">
        <v>0.2</v>
      </c>
      <c r="L261" s="500">
        <v>0.3</v>
      </c>
      <c r="M261" s="500">
        <v>0.4</v>
      </c>
      <c r="N261" s="500">
        <v>0.4</v>
      </c>
      <c r="O261" s="500">
        <v>0.3</v>
      </c>
      <c r="P261" s="500">
        <v>0.3</v>
      </c>
      <c r="Q261" s="500">
        <v>0.3</v>
      </c>
      <c r="R261" s="500">
        <v>0.3</v>
      </c>
      <c r="S261" s="500">
        <v>0.2</v>
      </c>
      <c r="T261" s="500">
        <v>0.2</v>
      </c>
      <c r="U261" s="500">
        <v>0.2</v>
      </c>
      <c r="V261" s="500">
        <v>0.2</v>
      </c>
      <c r="W261" s="500">
        <v>0.2</v>
      </c>
      <c r="X261" s="500">
        <v>0.5</v>
      </c>
      <c r="Y261" s="500">
        <v>0.7</v>
      </c>
      <c r="Z261" s="500">
        <v>0.8</v>
      </c>
      <c r="AA261" s="500">
        <v>0.6</v>
      </c>
      <c r="AB261" s="500">
        <v>0.5</v>
      </c>
      <c r="AC261" s="501">
        <v>0.3</v>
      </c>
      <c r="AD261" s="41"/>
      <c r="AE261" s="41"/>
      <c r="AF261" s="41"/>
      <c r="AG261" s="41"/>
      <c r="AH261" s="41"/>
      <c r="AI261" s="41"/>
      <c r="AJ261" s="41"/>
      <c r="AK261" s="41"/>
      <c r="AM261" s="52"/>
    </row>
    <row r="262" spans="1:39" ht="38.65" hidden="1" customHeight="1">
      <c r="A262" s="1063" t="str">
        <f>A256</f>
        <v>Service and Back Up prep in Basement</v>
      </c>
      <c r="B262" s="1034" t="str">
        <f>B256</f>
        <v>LargeHotelBasemet</v>
      </c>
      <c r="C262" s="1065" t="s">
        <v>710</v>
      </c>
      <c r="D262" s="1055" t="s">
        <v>709</v>
      </c>
      <c r="E262" s="505" t="s">
        <v>517</v>
      </c>
      <c r="F262" s="518">
        <v>0.3</v>
      </c>
      <c r="G262" s="518">
        <v>0.25</v>
      </c>
      <c r="H262" s="518">
        <v>0.2</v>
      </c>
      <c r="I262" s="518">
        <v>0.2</v>
      </c>
      <c r="J262" s="518">
        <v>0.2</v>
      </c>
      <c r="K262" s="518">
        <v>0.3</v>
      </c>
      <c r="L262" s="518">
        <v>0.5</v>
      </c>
      <c r="M262" s="518">
        <v>0.6</v>
      </c>
      <c r="N262" s="518">
        <v>0.5</v>
      </c>
      <c r="O262" s="518">
        <v>0.5</v>
      </c>
      <c r="P262" s="518">
        <v>0.35</v>
      </c>
      <c r="Q262" s="518">
        <v>0.35</v>
      </c>
      <c r="R262" s="518">
        <v>0.35</v>
      </c>
      <c r="S262" s="518">
        <v>0.35</v>
      </c>
      <c r="T262" s="518">
        <v>0.35</v>
      </c>
      <c r="U262" s="518">
        <v>0.35</v>
      </c>
      <c r="V262" s="518">
        <v>0.35</v>
      </c>
      <c r="W262" s="518">
        <v>0.35</v>
      </c>
      <c r="X262" s="518">
        <v>0.7</v>
      </c>
      <c r="Y262" s="518">
        <v>0.9</v>
      </c>
      <c r="Z262" s="518">
        <v>0.95</v>
      </c>
      <c r="AA262" s="518">
        <v>0.9</v>
      </c>
      <c r="AB262" s="518">
        <v>0.7</v>
      </c>
      <c r="AC262" s="519">
        <v>0.4</v>
      </c>
      <c r="AD262" s="41"/>
      <c r="AE262" s="41"/>
      <c r="AF262" s="41"/>
      <c r="AG262" s="41"/>
      <c r="AH262" s="41"/>
      <c r="AI262" s="41"/>
      <c r="AJ262" s="41"/>
      <c r="AK262" s="41"/>
      <c r="AM262" s="52"/>
    </row>
    <row r="263" spans="1:39" ht="38.65" hidden="1" customHeight="1">
      <c r="A263" s="1058"/>
      <c r="B263" s="1003"/>
      <c r="C263" s="1066"/>
      <c r="D263" s="1041"/>
      <c r="E263" s="503" t="s">
        <v>524</v>
      </c>
      <c r="F263" s="496">
        <v>0.3</v>
      </c>
      <c r="G263" s="496">
        <v>0.3</v>
      </c>
      <c r="H263" s="496">
        <v>0.2</v>
      </c>
      <c r="I263" s="496">
        <v>0.2</v>
      </c>
      <c r="J263" s="496">
        <v>0.2</v>
      </c>
      <c r="K263" s="496">
        <v>0.2</v>
      </c>
      <c r="L263" s="496">
        <v>0.4</v>
      </c>
      <c r="M263" s="496">
        <v>0.4</v>
      </c>
      <c r="N263" s="496">
        <v>0.5</v>
      </c>
      <c r="O263" s="496">
        <v>0.5</v>
      </c>
      <c r="P263" s="496">
        <v>0.4</v>
      </c>
      <c r="Q263" s="496">
        <v>0.35</v>
      </c>
      <c r="R263" s="496">
        <v>0.35</v>
      </c>
      <c r="S263" s="496">
        <v>0.35</v>
      </c>
      <c r="T263" s="496">
        <v>0.35</v>
      </c>
      <c r="U263" s="496">
        <v>0.35</v>
      </c>
      <c r="V263" s="496">
        <v>0.35</v>
      </c>
      <c r="W263" s="496">
        <v>0.35</v>
      </c>
      <c r="X263" s="496">
        <v>0.7</v>
      </c>
      <c r="Y263" s="496">
        <v>0.8</v>
      </c>
      <c r="Z263" s="496">
        <v>0.8</v>
      </c>
      <c r="AA263" s="496">
        <v>0.8</v>
      </c>
      <c r="AB263" s="496">
        <v>0.7</v>
      </c>
      <c r="AC263" s="499">
        <v>0.4</v>
      </c>
      <c r="AD263" s="41"/>
      <c r="AE263" s="41"/>
      <c r="AF263" s="41"/>
      <c r="AG263" s="41"/>
      <c r="AH263" s="41"/>
      <c r="AI263" s="41"/>
      <c r="AJ263" s="41"/>
      <c r="AK263" s="41"/>
      <c r="AM263" s="52"/>
    </row>
    <row r="264" spans="1:39" ht="38.65" hidden="1" customHeight="1" thickBot="1">
      <c r="A264" s="1064"/>
      <c r="B264" s="1030"/>
      <c r="C264" s="1067"/>
      <c r="D264" s="1056"/>
      <c r="E264" s="517" t="s">
        <v>526</v>
      </c>
      <c r="F264" s="520">
        <v>0.4</v>
      </c>
      <c r="G264" s="520">
        <v>0.4</v>
      </c>
      <c r="H264" s="520">
        <v>0.3</v>
      </c>
      <c r="I264" s="520">
        <v>0.3</v>
      </c>
      <c r="J264" s="520">
        <v>0.3</v>
      </c>
      <c r="K264" s="520">
        <v>0.3</v>
      </c>
      <c r="L264" s="520">
        <v>0.4</v>
      </c>
      <c r="M264" s="520">
        <v>0.5</v>
      </c>
      <c r="N264" s="520">
        <v>0.5</v>
      </c>
      <c r="O264" s="520">
        <v>0.4</v>
      </c>
      <c r="P264" s="520">
        <v>0.4</v>
      </c>
      <c r="Q264" s="520">
        <v>0.4</v>
      </c>
      <c r="R264" s="520">
        <v>0.4</v>
      </c>
      <c r="S264" s="520">
        <v>0.3</v>
      </c>
      <c r="T264" s="520">
        <v>0.3</v>
      </c>
      <c r="U264" s="520">
        <v>0.3</v>
      </c>
      <c r="V264" s="520">
        <v>0.3</v>
      </c>
      <c r="W264" s="520">
        <v>0.3</v>
      </c>
      <c r="X264" s="520">
        <v>0.6</v>
      </c>
      <c r="Y264" s="520">
        <v>0.8</v>
      </c>
      <c r="Z264" s="520">
        <v>0.9</v>
      </c>
      <c r="AA264" s="520">
        <v>0.7</v>
      </c>
      <c r="AB264" s="520">
        <v>0.6</v>
      </c>
      <c r="AC264" s="521">
        <v>0.4</v>
      </c>
      <c r="AD264" s="41"/>
      <c r="AE264" s="41"/>
      <c r="AF264" s="41"/>
      <c r="AG264" s="41"/>
      <c r="AH264" s="41"/>
      <c r="AI264" s="41"/>
      <c r="AJ264" s="41"/>
      <c r="AK264" s="41"/>
      <c r="AM264" s="52"/>
    </row>
    <row r="265" spans="1:39" ht="38.450000000000003" hidden="1" customHeight="1">
      <c r="A265" s="999" t="str">
        <f>A256</f>
        <v>Service and Back Up prep in Basement</v>
      </c>
      <c r="B265" s="1005" t="str">
        <f>B256</f>
        <v>LargeHotelBasemet</v>
      </c>
      <c r="C265" s="1005" t="s">
        <v>711</v>
      </c>
      <c r="D265" s="1055" t="s">
        <v>709</v>
      </c>
      <c r="E265" s="700" t="s">
        <v>517</v>
      </c>
      <c r="F265" s="701">
        <v>1</v>
      </c>
      <c r="G265" s="701">
        <v>1</v>
      </c>
      <c r="H265" s="701">
        <v>1</v>
      </c>
      <c r="I265" s="701">
        <v>1</v>
      </c>
      <c r="J265" s="701">
        <v>1</v>
      </c>
      <c r="K265" s="701">
        <v>1</v>
      </c>
      <c r="L265" s="701">
        <v>1</v>
      </c>
      <c r="M265" s="701">
        <v>1</v>
      </c>
      <c r="N265" s="701">
        <v>1</v>
      </c>
      <c r="O265" s="701">
        <v>1</v>
      </c>
      <c r="P265" s="701">
        <v>1</v>
      </c>
      <c r="Q265" s="701">
        <v>1</v>
      </c>
      <c r="R265" s="701">
        <v>1</v>
      </c>
      <c r="S265" s="701">
        <v>1</v>
      </c>
      <c r="T265" s="701">
        <v>1</v>
      </c>
      <c r="U265" s="701">
        <v>1</v>
      </c>
      <c r="V265" s="701">
        <v>1</v>
      </c>
      <c r="W265" s="701">
        <v>1</v>
      </c>
      <c r="X265" s="701">
        <v>1</v>
      </c>
      <c r="Y265" s="701">
        <v>1</v>
      </c>
      <c r="Z265" s="701">
        <v>1</v>
      </c>
      <c r="AA265" s="701">
        <v>1</v>
      </c>
      <c r="AB265" s="701">
        <v>1</v>
      </c>
      <c r="AC265" s="702">
        <v>1</v>
      </c>
      <c r="AD265" s="41"/>
      <c r="AE265" s="41"/>
      <c r="AF265" s="41"/>
      <c r="AG265" s="41"/>
      <c r="AH265" s="41"/>
      <c r="AI265" s="41"/>
      <c r="AJ265" s="41"/>
      <c r="AK265" s="41"/>
      <c r="AM265" s="52"/>
    </row>
    <row r="266" spans="1:39" ht="38.65" hidden="1" customHeight="1">
      <c r="A266" s="1000"/>
      <c r="B266" s="1003"/>
      <c r="C266" s="1003"/>
      <c r="D266" s="1041"/>
      <c r="E266" s="674" t="s">
        <v>524</v>
      </c>
      <c r="F266" s="691">
        <v>1</v>
      </c>
      <c r="G266" s="691">
        <v>1</v>
      </c>
      <c r="H266" s="691">
        <v>1</v>
      </c>
      <c r="I266" s="691">
        <v>1</v>
      </c>
      <c r="J266" s="691">
        <v>1</v>
      </c>
      <c r="K266" s="691">
        <v>1</v>
      </c>
      <c r="L266" s="691">
        <v>1</v>
      </c>
      <c r="M266" s="691">
        <v>1</v>
      </c>
      <c r="N266" s="691">
        <v>1</v>
      </c>
      <c r="O266" s="691">
        <v>1</v>
      </c>
      <c r="P266" s="691">
        <v>1</v>
      </c>
      <c r="Q266" s="691">
        <v>1</v>
      </c>
      <c r="R266" s="691">
        <v>1</v>
      </c>
      <c r="S266" s="691">
        <v>1</v>
      </c>
      <c r="T266" s="691">
        <v>1</v>
      </c>
      <c r="U266" s="691">
        <v>1</v>
      </c>
      <c r="V266" s="691">
        <v>1</v>
      </c>
      <c r="W266" s="691">
        <v>1</v>
      </c>
      <c r="X266" s="691">
        <v>1</v>
      </c>
      <c r="Y266" s="691">
        <v>1</v>
      </c>
      <c r="Z266" s="691">
        <v>1</v>
      </c>
      <c r="AA266" s="691">
        <v>1</v>
      </c>
      <c r="AB266" s="691">
        <v>1</v>
      </c>
      <c r="AC266" s="703">
        <v>1</v>
      </c>
      <c r="AD266" s="41"/>
      <c r="AE266" s="41"/>
      <c r="AF266" s="41"/>
      <c r="AG266" s="41"/>
      <c r="AH266" s="41"/>
      <c r="AI266" s="41"/>
      <c r="AJ266" s="41"/>
      <c r="AK266" s="41"/>
      <c r="AM266" s="52"/>
    </row>
    <row r="267" spans="1:39" ht="38.450000000000003" hidden="1" customHeight="1" thickBot="1">
      <c r="A267" s="1001"/>
      <c r="B267" s="1004"/>
      <c r="C267" s="1004"/>
      <c r="D267" s="1056"/>
      <c r="E267" s="704" t="s">
        <v>526</v>
      </c>
      <c r="F267" s="705">
        <v>1</v>
      </c>
      <c r="G267" s="705">
        <v>1</v>
      </c>
      <c r="H267" s="705">
        <v>1</v>
      </c>
      <c r="I267" s="705">
        <v>1</v>
      </c>
      <c r="J267" s="705">
        <v>1</v>
      </c>
      <c r="K267" s="705">
        <v>1</v>
      </c>
      <c r="L267" s="705">
        <v>1</v>
      </c>
      <c r="M267" s="705">
        <v>1</v>
      </c>
      <c r="N267" s="705">
        <v>1</v>
      </c>
      <c r="O267" s="705">
        <v>1</v>
      </c>
      <c r="P267" s="705">
        <v>1</v>
      </c>
      <c r="Q267" s="705">
        <v>1</v>
      </c>
      <c r="R267" s="705">
        <v>1</v>
      </c>
      <c r="S267" s="705">
        <v>1</v>
      </c>
      <c r="T267" s="705">
        <v>1</v>
      </c>
      <c r="U267" s="705">
        <v>1</v>
      </c>
      <c r="V267" s="705">
        <v>1</v>
      </c>
      <c r="W267" s="705">
        <v>1</v>
      </c>
      <c r="X267" s="705">
        <v>1</v>
      </c>
      <c r="Y267" s="705">
        <v>1</v>
      </c>
      <c r="Z267" s="705">
        <v>1</v>
      </c>
      <c r="AA267" s="705">
        <v>1</v>
      </c>
      <c r="AB267" s="705">
        <v>1</v>
      </c>
      <c r="AC267" s="706">
        <v>1</v>
      </c>
      <c r="AD267" s="41"/>
      <c r="AE267" s="41"/>
      <c r="AF267" s="41"/>
      <c r="AG267" s="41"/>
      <c r="AH267" s="41"/>
      <c r="AI267" s="41"/>
      <c r="AJ267" s="41"/>
      <c r="AK267" s="41"/>
      <c r="AM267" s="52"/>
    </row>
    <row r="268" spans="1:39" ht="38.65" hidden="1" customHeight="1">
      <c r="A268" s="1024" t="str">
        <f>A256</f>
        <v>Service and Back Up prep in Basement</v>
      </c>
      <c r="B268" s="1005" t="str">
        <f>B256</f>
        <v>LargeHotelBasemet</v>
      </c>
      <c r="C268" s="1005" t="s">
        <v>713</v>
      </c>
      <c r="D268" s="1040" t="s">
        <v>714</v>
      </c>
      <c r="E268" s="564" t="s">
        <v>517</v>
      </c>
      <c r="F268" s="695">
        <v>1</v>
      </c>
      <c r="G268" s="695">
        <v>1</v>
      </c>
      <c r="H268" s="695">
        <v>1</v>
      </c>
      <c r="I268" s="695">
        <v>1</v>
      </c>
      <c r="J268" s="695">
        <v>1</v>
      </c>
      <c r="K268" s="695">
        <v>0.75</v>
      </c>
      <c r="L268" s="695">
        <v>0.75</v>
      </c>
      <c r="M268" s="695">
        <v>0.75</v>
      </c>
      <c r="N268" s="695">
        <v>0.4</v>
      </c>
      <c r="O268" s="695">
        <v>0.4</v>
      </c>
      <c r="P268" s="695">
        <v>0.4</v>
      </c>
      <c r="Q268" s="695">
        <v>0.4</v>
      </c>
      <c r="R268" s="695">
        <v>0.4</v>
      </c>
      <c r="S268" s="695">
        <v>0.4</v>
      </c>
      <c r="T268" s="695">
        <v>0.4</v>
      </c>
      <c r="U268" s="695">
        <v>0.4</v>
      </c>
      <c r="V268" s="695">
        <v>0.4</v>
      </c>
      <c r="W268" s="695">
        <v>0.75</v>
      </c>
      <c r="X268" s="695">
        <v>0.75</v>
      </c>
      <c r="Y268" s="695">
        <v>0.75</v>
      </c>
      <c r="Z268" s="695">
        <v>0.75</v>
      </c>
      <c r="AA268" s="695">
        <v>1</v>
      </c>
      <c r="AB268" s="695">
        <v>1</v>
      </c>
      <c r="AC268" s="696">
        <v>1</v>
      </c>
      <c r="AD268" s="41"/>
      <c r="AE268" s="41"/>
      <c r="AF268" s="41"/>
      <c r="AG268" s="41"/>
      <c r="AH268" s="41"/>
      <c r="AI268" s="41"/>
      <c r="AJ268" s="41"/>
      <c r="AK268" s="41"/>
      <c r="AM268" s="52"/>
    </row>
    <row r="269" spans="1:39" ht="38.65" hidden="1" customHeight="1">
      <c r="A269" s="1025"/>
      <c r="B269" s="1003"/>
      <c r="C269" s="1003"/>
      <c r="D269" s="1041"/>
      <c r="E269" s="503" t="s">
        <v>524</v>
      </c>
      <c r="F269" s="523">
        <v>0.9</v>
      </c>
      <c r="G269" s="523">
        <v>0.9</v>
      </c>
      <c r="H269" s="523">
        <v>0.9</v>
      </c>
      <c r="I269" s="523">
        <v>0.9</v>
      </c>
      <c r="J269" s="523">
        <v>0.9</v>
      </c>
      <c r="K269" s="523">
        <v>0.65</v>
      </c>
      <c r="L269" s="523">
        <v>0.65</v>
      </c>
      <c r="M269" s="523">
        <v>0.65</v>
      </c>
      <c r="N269" s="523">
        <v>0.3</v>
      </c>
      <c r="O269" s="523">
        <v>0.3</v>
      </c>
      <c r="P269" s="523">
        <v>0.3</v>
      </c>
      <c r="Q269" s="523">
        <v>0.3</v>
      </c>
      <c r="R269" s="523">
        <v>0.3</v>
      </c>
      <c r="S269" s="523">
        <v>0.3</v>
      </c>
      <c r="T269" s="523">
        <v>0.3</v>
      </c>
      <c r="U269" s="523">
        <v>0.3</v>
      </c>
      <c r="V269" s="523">
        <v>0.3</v>
      </c>
      <c r="W269" s="523">
        <v>0.7</v>
      </c>
      <c r="X269" s="523">
        <v>0.7</v>
      </c>
      <c r="Y269" s="523">
        <v>0.7</v>
      </c>
      <c r="Z269" s="523">
        <v>0.7</v>
      </c>
      <c r="AA269" s="523">
        <v>0.9</v>
      </c>
      <c r="AB269" s="523">
        <v>0.9</v>
      </c>
      <c r="AC269" s="697">
        <v>0.9</v>
      </c>
      <c r="AD269" s="41"/>
      <c r="AE269" s="41"/>
      <c r="AF269" s="41"/>
      <c r="AG269" s="41"/>
      <c r="AH269" s="41"/>
      <c r="AI269" s="41"/>
      <c r="AJ269" s="41"/>
      <c r="AK269" s="41"/>
      <c r="AM269" s="52"/>
    </row>
    <row r="270" spans="1:39" ht="38.65" hidden="1" customHeight="1" thickBot="1">
      <c r="A270" s="1035"/>
      <c r="B270" s="1004"/>
      <c r="C270" s="1004"/>
      <c r="D270" s="1042"/>
      <c r="E270" s="568" t="s">
        <v>526</v>
      </c>
      <c r="F270" s="698">
        <f>F269</f>
        <v>0.9</v>
      </c>
      <c r="G270" s="698">
        <f t="shared" ref="G270:AB270" si="29">G269</f>
        <v>0.9</v>
      </c>
      <c r="H270" s="698">
        <f t="shared" si="29"/>
        <v>0.9</v>
      </c>
      <c r="I270" s="698">
        <f t="shared" si="29"/>
        <v>0.9</v>
      </c>
      <c r="J270" s="698">
        <f t="shared" si="29"/>
        <v>0.9</v>
      </c>
      <c r="K270" s="698">
        <f t="shared" si="29"/>
        <v>0.65</v>
      </c>
      <c r="L270" s="698">
        <f t="shared" si="29"/>
        <v>0.65</v>
      </c>
      <c r="M270" s="698">
        <f t="shared" si="29"/>
        <v>0.65</v>
      </c>
      <c r="N270" s="698">
        <f t="shared" si="29"/>
        <v>0.3</v>
      </c>
      <c r="O270" s="698">
        <f t="shared" si="29"/>
        <v>0.3</v>
      </c>
      <c r="P270" s="698">
        <f t="shared" si="29"/>
        <v>0.3</v>
      </c>
      <c r="Q270" s="698">
        <f t="shared" si="29"/>
        <v>0.3</v>
      </c>
      <c r="R270" s="698">
        <f t="shared" si="29"/>
        <v>0.3</v>
      </c>
      <c r="S270" s="698">
        <f t="shared" si="29"/>
        <v>0.3</v>
      </c>
      <c r="T270" s="698">
        <f t="shared" si="29"/>
        <v>0.3</v>
      </c>
      <c r="U270" s="698">
        <f t="shared" si="29"/>
        <v>0.3</v>
      </c>
      <c r="V270" s="698">
        <f t="shared" si="29"/>
        <v>0.3</v>
      </c>
      <c r="W270" s="698">
        <f t="shared" si="29"/>
        <v>0.7</v>
      </c>
      <c r="X270" s="698">
        <f t="shared" si="29"/>
        <v>0.7</v>
      </c>
      <c r="Y270" s="698">
        <f t="shared" si="29"/>
        <v>0.7</v>
      </c>
      <c r="Z270" s="698">
        <f t="shared" si="29"/>
        <v>0.7</v>
      </c>
      <c r="AA270" s="698">
        <f t="shared" si="29"/>
        <v>0.9</v>
      </c>
      <c r="AB270" s="698">
        <f t="shared" si="29"/>
        <v>0.9</v>
      </c>
      <c r="AC270" s="699">
        <f>AC269</f>
        <v>0.9</v>
      </c>
      <c r="AD270" s="41"/>
      <c r="AE270" s="41"/>
      <c r="AF270" s="41"/>
      <c r="AG270" s="41"/>
      <c r="AH270" s="41"/>
      <c r="AI270" s="41"/>
      <c r="AJ270" s="41"/>
      <c r="AK270" s="41"/>
      <c r="AM270" s="52"/>
    </row>
    <row r="271" spans="1:39" ht="34.15" hidden="1" customHeight="1">
      <c r="A271" s="1024" t="s">
        <v>768</v>
      </c>
      <c r="B271" s="1026" t="s">
        <v>128</v>
      </c>
      <c r="C271" s="1005" t="s">
        <v>706</v>
      </c>
      <c r="D271" s="1031" t="s">
        <v>745</v>
      </c>
      <c r="E271" s="105" t="s">
        <v>517</v>
      </c>
      <c r="F271" s="80">
        <v>0</v>
      </c>
      <c r="G271" s="80">
        <v>0</v>
      </c>
      <c r="H271" s="80">
        <v>0</v>
      </c>
      <c r="I271" s="80">
        <v>0</v>
      </c>
      <c r="J271" s="80">
        <v>0</v>
      </c>
      <c r="K271" s="80">
        <v>0</v>
      </c>
      <c r="L271" s="80">
        <v>0.1</v>
      </c>
      <c r="M271" s="80">
        <v>0.2</v>
      </c>
      <c r="N271" s="80">
        <v>0.95</v>
      </c>
      <c r="O271" s="80">
        <v>0.95</v>
      </c>
      <c r="P271" s="80">
        <v>0.95</v>
      </c>
      <c r="Q271" s="80">
        <v>0.95</v>
      </c>
      <c r="R271" s="80">
        <v>0.5</v>
      </c>
      <c r="S271" s="80">
        <v>0.95</v>
      </c>
      <c r="T271" s="80">
        <v>0.95</v>
      </c>
      <c r="U271" s="80">
        <v>0.95</v>
      </c>
      <c r="V271" s="80">
        <v>0.95</v>
      </c>
      <c r="W271" s="80">
        <v>0.3</v>
      </c>
      <c r="X271" s="80">
        <v>0.1</v>
      </c>
      <c r="Y271" s="80">
        <v>0.1</v>
      </c>
      <c r="Z271" s="80">
        <v>0.1</v>
      </c>
      <c r="AA271" s="80">
        <v>0.1</v>
      </c>
      <c r="AB271" s="80">
        <v>0.05</v>
      </c>
      <c r="AC271" s="83">
        <v>0.05</v>
      </c>
    </row>
    <row r="272" spans="1:39" ht="34.15" hidden="1" customHeight="1">
      <c r="A272" s="1025"/>
      <c r="B272" s="1027"/>
      <c r="C272" s="1003"/>
      <c r="D272" s="1032"/>
      <c r="E272" s="106" t="s">
        <v>524</v>
      </c>
      <c r="F272" s="81">
        <v>0</v>
      </c>
      <c r="G272" s="81">
        <v>0</v>
      </c>
      <c r="H272" s="81">
        <v>0</v>
      </c>
      <c r="I272" s="81">
        <v>0</v>
      </c>
      <c r="J272" s="81">
        <v>0</v>
      </c>
      <c r="K272" s="81">
        <v>0</v>
      </c>
      <c r="L272" s="677">
        <v>0.05</v>
      </c>
      <c r="M272" s="677">
        <v>0.05</v>
      </c>
      <c r="N272" s="677">
        <v>0.05</v>
      </c>
      <c r="O272" s="677">
        <v>0.05</v>
      </c>
      <c r="P272" s="677">
        <v>0.05</v>
      </c>
      <c r="Q272" s="677">
        <v>0.05</v>
      </c>
      <c r="R272" s="677">
        <v>0.05</v>
      </c>
      <c r="S272" s="677">
        <v>0.05</v>
      </c>
      <c r="T272" s="677">
        <v>0.05</v>
      </c>
      <c r="U272" s="677">
        <v>0.05</v>
      </c>
      <c r="V272" s="677">
        <v>0.05</v>
      </c>
      <c r="W272" s="677">
        <v>0.05</v>
      </c>
      <c r="X272" s="678">
        <v>0</v>
      </c>
      <c r="Y272" s="81">
        <v>0</v>
      </c>
      <c r="Z272" s="81">
        <v>0</v>
      </c>
      <c r="AA272" s="81">
        <v>0</v>
      </c>
      <c r="AB272" s="81">
        <v>0</v>
      </c>
      <c r="AC272" s="84">
        <v>0</v>
      </c>
    </row>
    <row r="273" spans="1:29" ht="34.15" hidden="1" customHeight="1" thickBot="1">
      <c r="A273" s="1035"/>
      <c r="B273" s="1028"/>
      <c r="C273" s="1030"/>
      <c r="D273" s="1033"/>
      <c r="E273" s="609" t="s">
        <v>526</v>
      </c>
      <c r="F273" s="108">
        <v>0</v>
      </c>
      <c r="G273" s="108">
        <v>0</v>
      </c>
      <c r="H273" s="108">
        <v>0</v>
      </c>
      <c r="I273" s="108">
        <v>0</v>
      </c>
      <c r="J273" s="108">
        <v>0</v>
      </c>
      <c r="K273" s="108">
        <v>0</v>
      </c>
      <c r="L273" s="108">
        <v>0.05</v>
      </c>
      <c r="M273" s="108">
        <v>0.05</v>
      </c>
      <c r="N273" s="108">
        <v>0.05</v>
      </c>
      <c r="O273" s="108">
        <v>0.05</v>
      </c>
      <c r="P273" s="108">
        <v>0.05</v>
      </c>
      <c r="Q273" s="108">
        <v>0.05</v>
      </c>
      <c r="R273" s="108">
        <v>0.05</v>
      </c>
      <c r="S273" s="108">
        <v>0.05</v>
      </c>
      <c r="T273" s="108">
        <v>0.05</v>
      </c>
      <c r="U273" s="108">
        <v>0.05</v>
      </c>
      <c r="V273" s="108">
        <v>0.05</v>
      </c>
      <c r="W273" s="108">
        <v>0.05</v>
      </c>
      <c r="X273" s="108">
        <v>0</v>
      </c>
      <c r="Y273" s="108">
        <v>0</v>
      </c>
      <c r="Z273" s="108">
        <v>0</v>
      </c>
      <c r="AA273" s="108">
        <v>0</v>
      </c>
      <c r="AB273" s="108">
        <v>0</v>
      </c>
      <c r="AC273" s="611">
        <v>0</v>
      </c>
    </row>
    <row r="274" spans="1:29" ht="34.15" hidden="1" customHeight="1">
      <c r="A274" s="1024" t="str">
        <f>A271</f>
        <v>Conference and Office in Basement</v>
      </c>
      <c r="B274" s="1026" t="str">
        <f>B271</f>
        <v>Office</v>
      </c>
      <c r="C274" s="1034" t="s">
        <v>708</v>
      </c>
      <c r="D274" s="1031" t="s">
        <v>745</v>
      </c>
      <c r="E274" s="502" t="s">
        <v>517</v>
      </c>
      <c r="F274" s="80">
        <v>0.05</v>
      </c>
      <c r="G274" s="80">
        <v>0.05</v>
      </c>
      <c r="H274" s="80">
        <v>0.05</v>
      </c>
      <c r="I274" s="80">
        <v>0.05</v>
      </c>
      <c r="J274" s="80">
        <v>0.05</v>
      </c>
      <c r="K274" s="80">
        <v>0.1</v>
      </c>
      <c r="L274" s="80">
        <v>0.1</v>
      </c>
      <c r="M274" s="80">
        <v>0.3</v>
      </c>
      <c r="N274" s="80">
        <v>0.65</v>
      </c>
      <c r="O274" s="80">
        <v>0.65</v>
      </c>
      <c r="P274" s="80">
        <v>0.65</v>
      </c>
      <c r="Q274" s="80">
        <v>0.65</v>
      </c>
      <c r="R274" s="80">
        <v>0.65</v>
      </c>
      <c r="S274" s="80">
        <v>0.65</v>
      </c>
      <c r="T274" s="80">
        <v>0.65</v>
      </c>
      <c r="U274" s="80">
        <v>0.65</v>
      </c>
      <c r="V274" s="80">
        <v>0.65</v>
      </c>
      <c r="W274" s="80">
        <v>0.35</v>
      </c>
      <c r="X274" s="80">
        <v>0.3</v>
      </c>
      <c r="Y274" s="80">
        <v>0.3</v>
      </c>
      <c r="Z274" s="80">
        <v>0.2</v>
      </c>
      <c r="AA274" s="80">
        <v>0.2</v>
      </c>
      <c r="AB274" s="80">
        <v>0.1</v>
      </c>
      <c r="AC274" s="83">
        <v>0.05</v>
      </c>
    </row>
    <row r="275" spans="1:29" ht="34.15" hidden="1" customHeight="1">
      <c r="A275" s="1025"/>
      <c r="B275" s="1027"/>
      <c r="C275" s="1003"/>
      <c r="D275" s="1032"/>
      <c r="E275" s="503" t="s">
        <v>524</v>
      </c>
      <c r="F275" s="81">
        <v>0.05</v>
      </c>
      <c r="G275" s="81">
        <v>0.05</v>
      </c>
      <c r="H275" s="81">
        <v>0.05</v>
      </c>
      <c r="I275" s="81">
        <v>0.05</v>
      </c>
      <c r="J275" s="81">
        <v>0.05</v>
      </c>
      <c r="K275" s="81">
        <v>0.05</v>
      </c>
      <c r="L275" s="81">
        <v>0.1</v>
      </c>
      <c r="M275" s="81">
        <v>0.1</v>
      </c>
      <c r="N275" s="81">
        <v>0.3</v>
      </c>
      <c r="O275" s="81">
        <v>0.3</v>
      </c>
      <c r="P275" s="81">
        <v>0.3</v>
      </c>
      <c r="Q275" s="81">
        <v>0.3</v>
      </c>
      <c r="R275" s="81">
        <v>0.15</v>
      </c>
      <c r="S275" s="81">
        <v>0.15</v>
      </c>
      <c r="T275" s="81">
        <v>0.15</v>
      </c>
      <c r="U275" s="81">
        <v>0.15</v>
      </c>
      <c r="V275" s="81">
        <v>0.15</v>
      </c>
      <c r="W275" s="81">
        <v>0.05</v>
      </c>
      <c r="X275" s="81">
        <v>0.05</v>
      </c>
      <c r="Y275" s="81">
        <v>0.05</v>
      </c>
      <c r="Z275" s="81">
        <v>0.05</v>
      </c>
      <c r="AA275" s="81">
        <v>0.05</v>
      </c>
      <c r="AB275" s="81">
        <v>0.05</v>
      </c>
      <c r="AC275" s="84">
        <v>0.05</v>
      </c>
    </row>
    <row r="276" spans="1:29" ht="34.15" hidden="1" customHeight="1" thickBot="1">
      <c r="A276" s="1035"/>
      <c r="B276" s="1028"/>
      <c r="C276" s="1030"/>
      <c r="D276" s="1033"/>
      <c r="E276" s="517" t="s">
        <v>526</v>
      </c>
      <c r="F276" s="82">
        <v>0.05</v>
      </c>
      <c r="G276" s="82">
        <v>0.05</v>
      </c>
      <c r="H276" s="82">
        <v>0.05</v>
      </c>
      <c r="I276" s="82">
        <v>0.05</v>
      </c>
      <c r="J276" s="82">
        <v>0.05</v>
      </c>
      <c r="K276" s="82">
        <v>0.05</v>
      </c>
      <c r="L276" s="82">
        <v>0.05</v>
      </c>
      <c r="M276" s="82">
        <v>0.05</v>
      </c>
      <c r="N276" s="82">
        <v>0.05</v>
      </c>
      <c r="O276" s="82">
        <v>0.05</v>
      </c>
      <c r="P276" s="82">
        <v>0.05</v>
      </c>
      <c r="Q276" s="82">
        <v>0.05</v>
      </c>
      <c r="R276" s="82">
        <v>0.05</v>
      </c>
      <c r="S276" s="82">
        <v>0.05</v>
      </c>
      <c r="T276" s="82">
        <v>0.05</v>
      </c>
      <c r="U276" s="82">
        <v>0.05</v>
      </c>
      <c r="V276" s="82">
        <v>0.05</v>
      </c>
      <c r="W276" s="82">
        <v>0.05</v>
      </c>
      <c r="X276" s="82">
        <v>0.05</v>
      </c>
      <c r="Y276" s="82">
        <v>0.05</v>
      </c>
      <c r="Z276" s="82">
        <v>0.05</v>
      </c>
      <c r="AA276" s="82">
        <v>0.05</v>
      </c>
      <c r="AB276" s="82">
        <v>0.05</v>
      </c>
      <c r="AC276" s="85">
        <v>0.05</v>
      </c>
    </row>
    <row r="277" spans="1:29" ht="34.15" hidden="1" customHeight="1">
      <c r="A277" s="1024" t="str">
        <f t="shared" ref="A277" si="30">A274</f>
        <v>Conference and Office in Basement</v>
      </c>
      <c r="B277" s="1026" t="str">
        <f>B271</f>
        <v>Office</v>
      </c>
      <c r="C277" s="1034" t="s">
        <v>746</v>
      </c>
      <c r="D277" s="1037" t="s">
        <v>667</v>
      </c>
      <c r="E277" s="502" t="s">
        <v>517</v>
      </c>
      <c r="F277" s="679">
        <v>0.45</v>
      </c>
      <c r="G277" s="679">
        <v>0.45</v>
      </c>
      <c r="H277" s="679">
        <v>0.45</v>
      </c>
      <c r="I277" s="679">
        <v>0.45</v>
      </c>
      <c r="J277" s="679">
        <v>0.45</v>
      </c>
      <c r="K277" s="679">
        <v>0.45</v>
      </c>
      <c r="L277" s="679">
        <v>0.45</v>
      </c>
      <c r="M277" s="679">
        <v>0.74</v>
      </c>
      <c r="N277" s="679">
        <v>0.87</v>
      </c>
      <c r="O277" s="679">
        <v>0.9</v>
      </c>
      <c r="P277" s="679">
        <v>0.9</v>
      </c>
      <c r="Q277" s="679">
        <v>0.9</v>
      </c>
      <c r="R277" s="679">
        <v>0.9</v>
      </c>
      <c r="S277" s="679">
        <v>0.9</v>
      </c>
      <c r="T277" s="679">
        <v>0.9</v>
      </c>
      <c r="U277" s="679">
        <v>0.9</v>
      </c>
      <c r="V277" s="679">
        <v>0.9</v>
      </c>
      <c r="W277" s="679">
        <v>0.7</v>
      </c>
      <c r="X277" s="679">
        <v>0.5</v>
      </c>
      <c r="Y277" s="679">
        <v>0.5</v>
      </c>
      <c r="Z277" s="679">
        <v>0.5</v>
      </c>
      <c r="AA277" s="679">
        <v>0.45</v>
      </c>
      <c r="AB277" s="679">
        <v>0.45</v>
      </c>
      <c r="AC277" s="680">
        <v>0.45</v>
      </c>
    </row>
    <row r="278" spans="1:29" ht="34.15" hidden="1" customHeight="1">
      <c r="A278" s="1025"/>
      <c r="B278" s="1027"/>
      <c r="C278" s="1003"/>
      <c r="D278" s="1038"/>
      <c r="E278" s="503" t="s">
        <v>524</v>
      </c>
      <c r="F278" s="599">
        <v>0.43</v>
      </c>
      <c r="G278" s="599">
        <v>0.43</v>
      </c>
      <c r="H278" s="599">
        <v>0.43</v>
      </c>
      <c r="I278" s="599">
        <v>0.43</v>
      </c>
      <c r="J278" s="599">
        <v>0.43</v>
      </c>
      <c r="K278" s="599">
        <v>0.43</v>
      </c>
      <c r="L278" s="599">
        <v>0.43</v>
      </c>
      <c r="M278" s="599">
        <v>0.43</v>
      </c>
      <c r="N278" s="599">
        <v>0.43</v>
      </c>
      <c r="O278" s="599">
        <v>0.43</v>
      </c>
      <c r="P278" s="599">
        <v>0.43</v>
      </c>
      <c r="Q278" s="599">
        <v>0.43</v>
      </c>
      <c r="R278" s="599">
        <v>0.43</v>
      </c>
      <c r="S278" s="599">
        <v>0.43</v>
      </c>
      <c r="T278" s="599">
        <v>0.43</v>
      </c>
      <c r="U278" s="599">
        <v>0.43</v>
      </c>
      <c r="V278" s="599">
        <v>0.43</v>
      </c>
      <c r="W278" s="599">
        <v>0.43</v>
      </c>
      <c r="X278" s="599">
        <v>0.43</v>
      </c>
      <c r="Y278" s="599">
        <v>0.43</v>
      </c>
      <c r="Z278" s="599">
        <v>0.43</v>
      </c>
      <c r="AA278" s="599">
        <v>0.43</v>
      </c>
      <c r="AB278" s="599">
        <v>0.43</v>
      </c>
      <c r="AC278" s="681">
        <v>0.43</v>
      </c>
    </row>
    <row r="279" spans="1:29" ht="34.15" hidden="1" customHeight="1" thickBot="1">
      <c r="A279" s="1035"/>
      <c r="B279" s="1028"/>
      <c r="C279" s="1036"/>
      <c r="D279" s="1039"/>
      <c r="E279" s="504" t="s">
        <v>526</v>
      </c>
      <c r="F279" s="682">
        <v>0.43</v>
      </c>
      <c r="G279" s="682">
        <v>0.43</v>
      </c>
      <c r="H279" s="682">
        <v>0.43</v>
      </c>
      <c r="I279" s="682">
        <v>0.43</v>
      </c>
      <c r="J279" s="682">
        <v>0.43</v>
      </c>
      <c r="K279" s="682">
        <v>0.43</v>
      </c>
      <c r="L279" s="682">
        <v>0.43</v>
      </c>
      <c r="M279" s="682">
        <v>0.43</v>
      </c>
      <c r="N279" s="682">
        <v>0.43</v>
      </c>
      <c r="O279" s="682">
        <v>0.43</v>
      </c>
      <c r="P279" s="682">
        <v>0.43</v>
      </c>
      <c r="Q279" s="682">
        <v>0.43</v>
      </c>
      <c r="R279" s="682">
        <v>0.43</v>
      </c>
      <c r="S279" s="682">
        <v>0.43</v>
      </c>
      <c r="T279" s="682">
        <v>0.43</v>
      </c>
      <c r="U279" s="682">
        <v>0.43</v>
      </c>
      <c r="V279" s="682">
        <v>0.43</v>
      </c>
      <c r="W279" s="682">
        <v>0.43</v>
      </c>
      <c r="X279" s="682">
        <v>0.43</v>
      </c>
      <c r="Y279" s="682">
        <v>0.43</v>
      </c>
      <c r="Z279" s="682">
        <v>0.43</v>
      </c>
      <c r="AA279" s="682">
        <v>0.43</v>
      </c>
      <c r="AB279" s="682">
        <v>0.43</v>
      </c>
      <c r="AC279" s="683">
        <v>0.43</v>
      </c>
    </row>
    <row r="280" spans="1:29" ht="23.45" hidden="1" customHeight="1">
      <c r="A280" s="1024" t="str">
        <f>A271</f>
        <v>Conference and Office in Basement</v>
      </c>
      <c r="B280" s="1026" t="str">
        <f>B271</f>
        <v>Office</v>
      </c>
      <c r="C280" s="1029" t="s">
        <v>711</v>
      </c>
      <c r="D280" s="1031" t="s">
        <v>745</v>
      </c>
      <c r="E280" s="505" t="s">
        <v>517</v>
      </c>
      <c r="F280" s="621">
        <v>0</v>
      </c>
      <c r="G280" s="621">
        <v>0</v>
      </c>
      <c r="H280" s="621">
        <v>0</v>
      </c>
      <c r="I280" s="621">
        <v>0</v>
      </c>
      <c r="J280" s="621">
        <v>0</v>
      </c>
      <c r="K280" s="621">
        <v>1</v>
      </c>
      <c r="L280" s="621">
        <v>1</v>
      </c>
      <c r="M280" s="621">
        <v>1</v>
      </c>
      <c r="N280" s="621">
        <v>1</v>
      </c>
      <c r="O280" s="621">
        <v>1</v>
      </c>
      <c r="P280" s="621">
        <v>1</v>
      </c>
      <c r="Q280" s="621">
        <v>1</v>
      </c>
      <c r="R280" s="621">
        <v>1</v>
      </c>
      <c r="S280" s="621">
        <v>1</v>
      </c>
      <c r="T280" s="621">
        <v>1</v>
      </c>
      <c r="U280" s="621">
        <v>1</v>
      </c>
      <c r="V280" s="621">
        <v>1</v>
      </c>
      <c r="W280" s="621">
        <v>1</v>
      </c>
      <c r="X280" s="621">
        <v>1</v>
      </c>
      <c r="Y280" s="621">
        <v>1</v>
      </c>
      <c r="Z280" s="621">
        <v>1</v>
      </c>
      <c r="AA280" s="621">
        <v>1</v>
      </c>
      <c r="AB280" s="621">
        <v>1</v>
      </c>
      <c r="AC280" s="623">
        <v>1</v>
      </c>
    </row>
    <row r="281" spans="1:29" ht="34.15" hidden="1" customHeight="1">
      <c r="A281" s="1025"/>
      <c r="B281" s="1027"/>
      <c r="C281" s="1003"/>
      <c r="D281" s="1032"/>
      <c r="E281" s="503" t="s">
        <v>524</v>
      </c>
      <c r="F281" s="81">
        <v>0</v>
      </c>
      <c r="G281" s="81">
        <v>0</v>
      </c>
      <c r="H281" s="81">
        <v>0</v>
      </c>
      <c r="I281" s="81">
        <v>0</v>
      </c>
      <c r="J281" s="81">
        <v>0</v>
      </c>
      <c r="K281" s="81">
        <v>1</v>
      </c>
      <c r="L281" s="81">
        <v>1</v>
      </c>
      <c r="M281" s="81">
        <v>1</v>
      </c>
      <c r="N281" s="81">
        <v>1</v>
      </c>
      <c r="O281" s="81">
        <v>1</v>
      </c>
      <c r="P281" s="81">
        <v>1</v>
      </c>
      <c r="Q281" s="81">
        <v>1</v>
      </c>
      <c r="R281" s="81">
        <v>1</v>
      </c>
      <c r="S281" s="81">
        <v>1</v>
      </c>
      <c r="T281" s="81">
        <v>1</v>
      </c>
      <c r="U281" s="81">
        <v>1</v>
      </c>
      <c r="V281" s="81">
        <v>1</v>
      </c>
      <c r="W281" s="81">
        <v>1</v>
      </c>
      <c r="X281" s="81">
        <v>1</v>
      </c>
      <c r="Y281" s="81">
        <v>0</v>
      </c>
      <c r="Z281" s="81">
        <v>0</v>
      </c>
      <c r="AA281" s="81">
        <v>0</v>
      </c>
      <c r="AB281" s="81">
        <v>0</v>
      </c>
      <c r="AC281" s="84">
        <v>0</v>
      </c>
    </row>
    <row r="282" spans="1:29" ht="34.15" hidden="1" customHeight="1" thickBot="1">
      <c r="A282" s="1025"/>
      <c r="B282" s="1028"/>
      <c r="C282" s="1030"/>
      <c r="D282" s="1033"/>
      <c r="E282" s="504" t="s">
        <v>526</v>
      </c>
      <c r="F282" s="82">
        <v>0</v>
      </c>
      <c r="G282" s="82">
        <v>0</v>
      </c>
      <c r="H282" s="82">
        <v>0</v>
      </c>
      <c r="I282" s="82">
        <v>0</v>
      </c>
      <c r="J282" s="82">
        <v>0</v>
      </c>
      <c r="K282" s="82">
        <v>0</v>
      </c>
      <c r="L282" s="82">
        <v>0</v>
      </c>
      <c r="M282" s="82">
        <v>0</v>
      </c>
      <c r="N282" s="82">
        <v>0</v>
      </c>
      <c r="O282" s="82">
        <v>0</v>
      </c>
      <c r="P282" s="82">
        <v>0</v>
      </c>
      <c r="Q282" s="82">
        <v>0</v>
      </c>
      <c r="R282" s="82">
        <v>0</v>
      </c>
      <c r="S282" s="82">
        <v>0</v>
      </c>
      <c r="T282" s="82">
        <v>0</v>
      </c>
      <c r="U282" s="82">
        <v>0</v>
      </c>
      <c r="V282" s="82">
        <v>0</v>
      </c>
      <c r="W282" s="82">
        <v>0</v>
      </c>
      <c r="X282" s="82">
        <v>0</v>
      </c>
      <c r="Y282" s="82">
        <v>0</v>
      </c>
      <c r="Z282" s="82">
        <v>0</v>
      </c>
      <c r="AA282" s="82">
        <v>0</v>
      </c>
      <c r="AB282" s="82">
        <v>0</v>
      </c>
      <c r="AC282" s="85">
        <v>0</v>
      </c>
    </row>
    <row r="283" spans="1:29" ht="34.15" hidden="1" customHeight="1">
      <c r="A283" s="1024" t="str">
        <f>A271</f>
        <v>Conference and Office in Basement</v>
      </c>
      <c r="B283" s="1026" t="str">
        <f>B271</f>
        <v>Office</v>
      </c>
      <c r="C283" s="1005" t="s">
        <v>713</v>
      </c>
      <c r="D283" s="1031" t="s">
        <v>745</v>
      </c>
      <c r="E283" s="505" t="s">
        <v>517</v>
      </c>
      <c r="F283" s="518">
        <v>0.13100000000000001</v>
      </c>
      <c r="G283" s="518">
        <v>7.4999999999999997E-2</v>
      </c>
      <c r="H283" s="518">
        <v>8.4000000000000005E-2</v>
      </c>
      <c r="I283" s="518">
        <v>0.10299999999999999</v>
      </c>
      <c r="J283" s="518">
        <v>0.187</v>
      </c>
      <c r="K283" s="518">
        <v>0.41099999999999998</v>
      </c>
      <c r="L283" s="518">
        <v>0.83199999999999996</v>
      </c>
      <c r="M283" s="518">
        <v>1</v>
      </c>
      <c r="N283" s="518">
        <v>0.83199999999999996</v>
      </c>
      <c r="O283" s="518">
        <v>0.61699999999999999</v>
      </c>
      <c r="P283" s="518">
        <v>0.48599999999999999</v>
      </c>
      <c r="Q283" s="518">
        <v>0.35499999999999998</v>
      </c>
      <c r="R283" s="518">
        <v>0.33600000000000002</v>
      </c>
      <c r="S283" s="518">
        <v>0.308</v>
      </c>
      <c r="T283" s="518">
        <v>0.29899999999999999</v>
      </c>
      <c r="U283" s="518">
        <v>0.24299999999999999</v>
      </c>
      <c r="V283" s="518">
        <v>0.39300000000000002</v>
      </c>
      <c r="W283" s="518">
        <v>0.44900000000000001</v>
      </c>
      <c r="X283" s="518">
        <v>0.48599999999999999</v>
      </c>
      <c r="Y283" s="518">
        <v>0.439</v>
      </c>
      <c r="Z283" s="518">
        <v>0.39300000000000002</v>
      </c>
      <c r="AA283" s="518">
        <v>0.36399999999999999</v>
      </c>
      <c r="AB283" s="518">
        <v>0.33600000000000002</v>
      </c>
      <c r="AC283" s="519">
        <v>0.20599999999999999</v>
      </c>
    </row>
    <row r="284" spans="1:29" ht="34.15" hidden="1" customHeight="1">
      <c r="A284" s="1025"/>
      <c r="B284" s="1027"/>
      <c r="C284" s="1003"/>
      <c r="D284" s="1032"/>
      <c r="E284" s="503" t="s">
        <v>524</v>
      </c>
      <c r="F284" s="496">
        <v>0.217</v>
      </c>
      <c r="G284" s="496">
        <v>0.12</v>
      </c>
      <c r="H284" s="496">
        <v>0.108</v>
      </c>
      <c r="I284" s="496">
        <v>9.6000000000000002E-2</v>
      </c>
      <c r="J284" s="496">
        <v>0.18099999999999999</v>
      </c>
      <c r="K284" s="496">
        <v>0.27700000000000002</v>
      </c>
      <c r="L284" s="496">
        <v>0.313</v>
      </c>
      <c r="M284" s="496">
        <v>0.56599999999999995</v>
      </c>
      <c r="N284" s="496">
        <v>0.92800000000000005</v>
      </c>
      <c r="O284" s="496">
        <v>1</v>
      </c>
      <c r="P284" s="496">
        <v>0.89200000000000002</v>
      </c>
      <c r="Q284" s="496">
        <v>0.73499999999999999</v>
      </c>
      <c r="R284" s="496">
        <v>0.61399999999999999</v>
      </c>
      <c r="S284" s="496">
        <v>0.51800000000000002</v>
      </c>
      <c r="T284" s="496">
        <v>0.47</v>
      </c>
      <c r="U284" s="496">
        <v>0.47</v>
      </c>
      <c r="V284" s="496">
        <v>0.627</v>
      </c>
      <c r="W284" s="496">
        <v>0.69899999999999995</v>
      </c>
      <c r="X284" s="496">
        <v>0.67500000000000004</v>
      </c>
      <c r="Y284" s="496">
        <v>0.627</v>
      </c>
      <c r="Z284" s="496">
        <v>0.56599999999999995</v>
      </c>
      <c r="AA284" s="496">
        <v>0.53</v>
      </c>
      <c r="AB284" s="496">
        <v>0.48199999999999998</v>
      </c>
      <c r="AC284" s="499">
        <v>0.33700000000000002</v>
      </c>
    </row>
    <row r="285" spans="1:29" ht="34.15" hidden="1" customHeight="1" thickBot="1">
      <c r="A285" s="1025"/>
      <c r="B285" s="1027"/>
      <c r="C285" s="1030"/>
      <c r="D285" s="1033"/>
      <c r="E285" s="517" t="s">
        <v>526</v>
      </c>
      <c r="F285" s="520">
        <v>0.217</v>
      </c>
      <c r="G285" s="520">
        <v>0.12</v>
      </c>
      <c r="H285" s="520">
        <v>0.108</v>
      </c>
      <c r="I285" s="520">
        <v>9.6000000000000002E-2</v>
      </c>
      <c r="J285" s="520">
        <v>0.18099999999999999</v>
      </c>
      <c r="K285" s="520">
        <v>0.27700000000000002</v>
      </c>
      <c r="L285" s="520">
        <v>0.313</v>
      </c>
      <c r="M285" s="520">
        <v>0.56599999999999995</v>
      </c>
      <c r="N285" s="520">
        <v>0.92800000000000005</v>
      </c>
      <c r="O285" s="520">
        <v>1</v>
      </c>
      <c r="P285" s="520">
        <v>0.89200000000000002</v>
      </c>
      <c r="Q285" s="520">
        <v>0.73499999999999999</v>
      </c>
      <c r="R285" s="520">
        <v>0.61399999999999999</v>
      </c>
      <c r="S285" s="520">
        <v>0.51800000000000002</v>
      </c>
      <c r="T285" s="520">
        <v>0.47</v>
      </c>
      <c r="U285" s="520">
        <v>0.47</v>
      </c>
      <c r="V285" s="520">
        <v>0.627</v>
      </c>
      <c r="W285" s="520">
        <v>0.69899999999999995</v>
      </c>
      <c r="X285" s="520">
        <v>0.67500000000000004</v>
      </c>
      <c r="Y285" s="520">
        <v>0.627</v>
      </c>
      <c r="Z285" s="520">
        <v>0.56599999999999995</v>
      </c>
      <c r="AA285" s="520">
        <v>0.53</v>
      </c>
      <c r="AB285" s="520">
        <v>0.48199999999999998</v>
      </c>
      <c r="AC285" s="521">
        <v>0.33700000000000002</v>
      </c>
    </row>
    <row r="286" spans="1:29" ht="34.15" hidden="1" customHeight="1">
      <c r="A286" s="1009" t="s">
        <v>769</v>
      </c>
      <c r="B286" s="1012" t="str">
        <f t="shared" ref="B286:AC286" si="31">B29</f>
        <v>Assembly</v>
      </c>
      <c r="C286" s="1012" t="str">
        <f t="shared" si="31"/>
        <v>Occupancy</v>
      </c>
      <c r="D286" s="1015" t="str">
        <f t="shared" si="31"/>
        <v>T24 2022 - Appendix 5.4B, [Assembly]</v>
      </c>
      <c r="E286" s="707" t="str">
        <f t="shared" si="31"/>
        <v>Weekday</v>
      </c>
      <c r="F286" s="809">
        <f t="shared" si="31"/>
        <v>0</v>
      </c>
      <c r="G286" s="809">
        <f t="shared" si="31"/>
        <v>0</v>
      </c>
      <c r="H286" s="809">
        <f t="shared" si="31"/>
        <v>0</v>
      </c>
      <c r="I286" s="809">
        <f t="shared" si="31"/>
        <v>0</v>
      </c>
      <c r="J286" s="809">
        <f t="shared" si="31"/>
        <v>0</v>
      </c>
      <c r="K286" s="809">
        <f t="shared" si="31"/>
        <v>0</v>
      </c>
      <c r="L286" s="809">
        <f t="shared" si="31"/>
        <v>0</v>
      </c>
      <c r="M286" s="809">
        <f t="shared" si="31"/>
        <v>0</v>
      </c>
      <c r="N286" s="809">
        <f t="shared" si="31"/>
        <v>0.2</v>
      </c>
      <c r="O286" s="809">
        <f t="shared" si="31"/>
        <v>0.2</v>
      </c>
      <c r="P286" s="809">
        <f t="shared" si="31"/>
        <v>0.2</v>
      </c>
      <c r="Q286" s="809">
        <f t="shared" si="31"/>
        <v>0.8</v>
      </c>
      <c r="R286" s="809">
        <f t="shared" si="31"/>
        <v>0.8</v>
      </c>
      <c r="S286" s="809">
        <f t="shared" si="31"/>
        <v>0.8</v>
      </c>
      <c r="T286" s="809">
        <f t="shared" si="31"/>
        <v>0.8</v>
      </c>
      <c r="U286" s="809">
        <f t="shared" si="31"/>
        <v>0.8</v>
      </c>
      <c r="V286" s="809">
        <f t="shared" si="31"/>
        <v>0.8</v>
      </c>
      <c r="W286" s="809">
        <f t="shared" si="31"/>
        <v>0.8</v>
      </c>
      <c r="X286" s="809">
        <f t="shared" si="31"/>
        <v>0.2</v>
      </c>
      <c r="Y286" s="809">
        <f t="shared" si="31"/>
        <v>0.2</v>
      </c>
      <c r="Z286" s="809">
        <f t="shared" si="31"/>
        <v>0.2</v>
      </c>
      <c r="AA286" s="809">
        <f t="shared" si="31"/>
        <v>0.2</v>
      </c>
      <c r="AB286" s="809">
        <f t="shared" si="31"/>
        <v>0.1</v>
      </c>
      <c r="AC286" s="812">
        <f t="shared" si="31"/>
        <v>0</v>
      </c>
    </row>
    <row r="287" spans="1:29" ht="34.15" hidden="1" customHeight="1">
      <c r="A287" s="1010"/>
      <c r="B287" s="1013">
        <f t="shared" ref="B287:AC287" si="32">B30</f>
        <v>0</v>
      </c>
      <c r="C287" s="1013">
        <f t="shared" si="32"/>
        <v>0</v>
      </c>
      <c r="D287" s="1016">
        <f t="shared" si="32"/>
        <v>0</v>
      </c>
      <c r="E287" s="708" t="str">
        <f t="shared" si="32"/>
        <v>Saturday</v>
      </c>
      <c r="F287" s="810">
        <f t="shared" si="32"/>
        <v>0</v>
      </c>
      <c r="G287" s="810">
        <f t="shared" si="32"/>
        <v>0</v>
      </c>
      <c r="H287" s="810">
        <f t="shared" si="32"/>
        <v>0</v>
      </c>
      <c r="I287" s="810">
        <f t="shared" si="32"/>
        <v>0</v>
      </c>
      <c r="J287" s="810">
        <f t="shared" si="32"/>
        <v>0</v>
      </c>
      <c r="K287" s="810">
        <f t="shared" si="32"/>
        <v>0</v>
      </c>
      <c r="L287" s="810">
        <f t="shared" si="32"/>
        <v>0</v>
      </c>
      <c r="M287" s="810">
        <f t="shared" si="32"/>
        <v>0</v>
      </c>
      <c r="N287" s="810">
        <f t="shared" si="32"/>
        <v>0.2</v>
      </c>
      <c r="O287" s="810">
        <f t="shared" si="32"/>
        <v>0.2</v>
      </c>
      <c r="P287" s="810">
        <f t="shared" si="32"/>
        <v>0.2</v>
      </c>
      <c r="Q287" s="810">
        <f t="shared" si="32"/>
        <v>0.6</v>
      </c>
      <c r="R287" s="810">
        <f t="shared" si="32"/>
        <v>0.6</v>
      </c>
      <c r="S287" s="810">
        <f t="shared" si="32"/>
        <v>0.6</v>
      </c>
      <c r="T287" s="810">
        <f t="shared" si="32"/>
        <v>0.6</v>
      </c>
      <c r="U287" s="810">
        <f t="shared" si="32"/>
        <v>0.6</v>
      </c>
      <c r="V287" s="810">
        <f t="shared" si="32"/>
        <v>0.6</v>
      </c>
      <c r="W287" s="810">
        <f t="shared" si="32"/>
        <v>0.6</v>
      </c>
      <c r="X287" s="810">
        <f t="shared" si="32"/>
        <v>0.6</v>
      </c>
      <c r="Y287" s="810">
        <f t="shared" si="32"/>
        <v>0.6</v>
      </c>
      <c r="Z287" s="810">
        <f t="shared" si="32"/>
        <v>0.6</v>
      </c>
      <c r="AA287" s="810">
        <f t="shared" si="32"/>
        <v>0.8</v>
      </c>
      <c r="AB287" s="810">
        <f t="shared" si="32"/>
        <v>0.1</v>
      </c>
      <c r="AC287" s="813">
        <f t="shared" si="32"/>
        <v>0</v>
      </c>
    </row>
    <row r="288" spans="1:29" ht="34.15" hidden="1" customHeight="1" thickBot="1">
      <c r="A288" s="1011"/>
      <c r="B288" s="1014">
        <f t="shared" ref="B288:AC288" si="33">B31</f>
        <v>0</v>
      </c>
      <c r="C288" s="1014">
        <f t="shared" si="33"/>
        <v>0</v>
      </c>
      <c r="D288" s="1017">
        <f t="shared" si="33"/>
        <v>0</v>
      </c>
      <c r="E288" s="709" t="str">
        <f t="shared" si="33"/>
        <v>Sunday</v>
      </c>
      <c r="F288" s="811">
        <f t="shared" si="33"/>
        <v>0</v>
      </c>
      <c r="G288" s="811">
        <f t="shared" si="33"/>
        <v>0</v>
      </c>
      <c r="H288" s="811">
        <f t="shared" si="33"/>
        <v>0</v>
      </c>
      <c r="I288" s="811">
        <f t="shared" si="33"/>
        <v>0</v>
      </c>
      <c r="J288" s="811">
        <f t="shared" si="33"/>
        <v>0</v>
      </c>
      <c r="K288" s="811">
        <f t="shared" si="33"/>
        <v>0</v>
      </c>
      <c r="L288" s="811">
        <f t="shared" si="33"/>
        <v>0</v>
      </c>
      <c r="M288" s="811">
        <f t="shared" si="33"/>
        <v>0</v>
      </c>
      <c r="N288" s="811">
        <f t="shared" si="33"/>
        <v>0.1</v>
      </c>
      <c r="O288" s="811">
        <f t="shared" si="33"/>
        <v>0.1</v>
      </c>
      <c r="P288" s="811">
        <f t="shared" si="33"/>
        <v>0.1</v>
      </c>
      <c r="Q288" s="811">
        <f t="shared" si="33"/>
        <v>0.1</v>
      </c>
      <c r="R288" s="811">
        <f t="shared" si="33"/>
        <v>0.1</v>
      </c>
      <c r="S288" s="811">
        <f t="shared" si="33"/>
        <v>0.7</v>
      </c>
      <c r="T288" s="811">
        <f t="shared" si="33"/>
        <v>0.7</v>
      </c>
      <c r="U288" s="811">
        <f t="shared" si="33"/>
        <v>0.7</v>
      </c>
      <c r="V288" s="811">
        <f t="shared" si="33"/>
        <v>0.7</v>
      </c>
      <c r="W288" s="811">
        <f t="shared" si="33"/>
        <v>0.7</v>
      </c>
      <c r="X288" s="811">
        <f t="shared" si="33"/>
        <v>0.7</v>
      </c>
      <c r="Y288" s="811">
        <f t="shared" si="33"/>
        <v>0.7</v>
      </c>
      <c r="Z288" s="811">
        <f t="shared" si="33"/>
        <v>0.7</v>
      </c>
      <c r="AA288" s="811">
        <f t="shared" si="33"/>
        <v>0.7</v>
      </c>
      <c r="AB288" s="811">
        <f t="shared" si="33"/>
        <v>0.2</v>
      </c>
      <c r="AC288" s="814">
        <f t="shared" si="33"/>
        <v>0</v>
      </c>
    </row>
    <row r="289" spans="1:39" ht="34.15" hidden="1" customHeight="1">
      <c r="A289" s="1018" t="str">
        <f>A286</f>
        <v>Storage in Basement</v>
      </c>
      <c r="B289" s="1020" t="str">
        <f t="shared" ref="B289:AC289" si="34">B32</f>
        <v>Assembly</v>
      </c>
      <c r="C289" s="1020" t="str">
        <f t="shared" si="34"/>
        <v>Lights</v>
      </c>
      <c r="D289" s="1022" t="str">
        <f t="shared" si="34"/>
        <v>T24 2022 - Appendix 5.4B, [Assembly]</v>
      </c>
      <c r="E289" s="710" t="str">
        <f t="shared" si="34"/>
        <v>Weekday</v>
      </c>
      <c r="F289" s="828">
        <f t="shared" si="34"/>
        <v>0.05</v>
      </c>
      <c r="G289" s="828">
        <f t="shared" si="34"/>
        <v>0.05</v>
      </c>
      <c r="H289" s="828">
        <f t="shared" si="34"/>
        <v>0.05</v>
      </c>
      <c r="I289" s="828">
        <f t="shared" si="34"/>
        <v>0.05</v>
      </c>
      <c r="J289" s="828">
        <f t="shared" si="34"/>
        <v>0.05</v>
      </c>
      <c r="K289" s="828">
        <f t="shared" si="34"/>
        <v>0.05</v>
      </c>
      <c r="L289" s="828">
        <f t="shared" si="34"/>
        <v>0.35</v>
      </c>
      <c r="M289" s="828">
        <f t="shared" si="34"/>
        <v>0.35</v>
      </c>
      <c r="N289" s="828">
        <f t="shared" si="34"/>
        <v>0.35</v>
      </c>
      <c r="O289" s="828">
        <f t="shared" si="34"/>
        <v>0.65</v>
      </c>
      <c r="P289" s="828">
        <f t="shared" si="34"/>
        <v>0.65</v>
      </c>
      <c r="Q289" s="828">
        <f t="shared" si="34"/>
        <v>0.65</v>
      </c>
      <c r="R289" s="828">
        <f t="shared" si="34"/>
        <v>0.65</v>
      </c>
      <c r="S289" s="828">
        <f t="shared" si="34"/>
        <v>0.65</v>
      </c>
      <c r="T289" s="828">
        <f t="shared" si="34"/>
        <v>0.65</v>
      </c>
      <c r="U289" s="828">
        <f t="shared" si="34"/>
        <v>0.65</v>
      </c>
      <c r="V289" s="828">
        <f t="shared" si="34"/>
        <v>0.65</v>
      </c>
      <c r="W289" s="828">
        <f t="shared" si="34"/>
        <v>0.65</v>
      </c>
      <c r="X289" s="828">
        <f t="shared" si="34"/>
        <v>0.65</v>
      </c>
      <c r="Y289" s="828">
        <f t="shared" si="34"/>
        <v>0.65</v>
      </c>
      <c r="Z289" s="828">
        <f t="shared" si="34"/>
        <v>0.65</v>
      </c>
      <c r="AA289" s="828">
        <f t="shared" si="34"/>
        <v>0.65</v>
      </c>
      <c r="AB289" s="828">
        <f t="shared" si="34"/>
        <v>0.25</v>
      </c>
      <c r="AC289" s="830">
        <f t="shared" si="34"/>
        <v>0.05</v>
      </c>
    </row>
    <row r="290" spans="1:39" ht="34.15" hidden="1" customHeight="1">
      <c r="A290" s="1010"/>
      <c r="B290" s="1013">
        <f t="shared" ref="B290:AC290" si="35">B33</f>
        <v>0</v>
      </c>
      <c r="C290" s="1013">
        <f t="shared" si="35"/>
        <v>0</v>
      </c>
      <c r="D290" s="1016">
        <f t="shared" si="35"/>
        <v>0</v>
      </c>
      <c r="E290" s="708" t="str">
        <f t="shared" si="35"/>
        <v>Saturday</v>
      </c>
      <c r="F290" s="810">
        <f t="shared" si="35"/>
        <v>0.05</v>
      </c>
      <c r="G290" s="810">
        <f t="shared" si="35"/>
        <v>0.05</v>
      </c>
      <c r="H290" s="810">
        <f t="shared" si="35"/>
        <v>0.05</v>
      </c>
      <c r="I290" s="810">
        <f t="shared" si="35"/>
        <v>0.05</v>
      </c>
      <c r="J290" s="810">
        <f t="shared" si="35"/>
        <v>0.05</v>
      </c>
      <c r="K290" s="810">
        <f t="shared" si="35"/>
        <v>0.05</v>
      </c>
      <c r="L290" s="810">
        <f t="shared" si="35"/>
        <v>0.05</v>
      </c>
      <c r="M290" s="810">
        <f t="shared" si="35"/>
        <v>0.3</v>
      </c>
      <c r="N290" s="810">
        <f t="shared" si="35"/>
        <v>0.3</v>
      </c>
      <c r="O290" s="810">
        <f t="shared" si="35"/>
        <v>0.4</v>
      </c>
      <c r="P290" s="810">
        <f t="shared" si="35"/>
        <v>0.4</v>
      </c>
      <c r="Q290" s="810">
        <f t="shared" si="35"/>
        <v>0.4</v>
      </c>
      <c r="R290" s="810">
        <f t="shared" si="35"/>
        <v>0.4</v>
      </c>
      <c r="S290" s="810">
        <f t="shared" si="35"/>
        <v>0.4</v>
      </c>
      <c r="T290" s="810">
        <f t="shared" si="35"/>
        <v>0.4</v>
      </c>
      <c r="U290" s="810">
        <f t="shared" si="35"/>
        <v>0.4</v>
      </c>
      <c r="V290" s="810">
        <f t="shared" si="35"/>
        <v>0.4</v>
      </c>
      <c r="W290" s="810">
        <f t="shared" si="35"/>
        <v>0.4</v>
      </c>
      <c r="X290" s="810">
        <f t="shared" si="35"/>
        <v>0.4</v>
      </c>
      <c r="Y290" s="810">
        <f t="shared" si="35"/>
        <v>0.4</v>
      </c>
      <c r="Z290" s="810">
        <f t="shared" si="35"/>
        <v>0.4</v>
      </c>
      <c r="AA290" s="810">
        <f t="shared" si="35"/>
        <v>0.4</v>
      </c>
      <c r="AB290" s="810">
        <f t="shared" si="35"/>
        <v>0.4</v>
      </c>
      <c r="AC290" s="813">
        <f t="shared" si="35"/>
        <v>0.05</v>
      </c>
    </row>
    <row r="291" spans="1:39" ht="34.15" hidden="1" customHeight="1" thickBot="1">
      <c r="A291" s="1019"/>
      <c r="B291" s="1021">
        <f t="shared" ref="B291:AC291" si="36">B34</f>
        <v>0</v>
      </c>
      <c r="C291" s="1021">
        <f t="shared" si="36"/>
        <v>0</v>
      </c>
      <c r="D291" s="1023">
        <f t="shared" si="36"/>
        <v>0</v>
      </c>
      <c r="E291" s="711" t="str">
        <f t="shared" si="36"/>
        <v>Sunday</v>
      </c>
      <c r="F291" s="827">
        <f t="shared" si="36"/>
        <v>0.05</v>
      </c>
      <c r="G291" s="827">
        <f t="shared" si="36"/>
        <v>0.05</v>
      </c>
      <c r="H291" s="827">
        <f t="shared" si="36"/>
        <v>0.05</v>
      </c>
      <c r="I291" s="827">
        <f t="shared" si="36"/>
        <v>0.05</v>
      </c>
      <c r="J291" s="827">
        <f t="shared" si="36"/>
        <v>0.05</v>
      </c>
      <c r="K291" s="827">
        <f t="shared" si="36"/>
        <v>0.05</v>
      </c>
      <c r="L291" s="827">
        <f t="shared" si="36"/>
        <v>0.05</v>
      </c>
      <c r="M291" s="827">
        <f t="shared" si="36"/>
        <v>0.3</v>
      </c>
      <c r="N291" s="827">
        <f t="shared" si="36"/>
        <v>0.3</v>
      </c>
      <c r="O291" s="827">
        <f t="shared" si="36"/>
        <v>0.3</v>
      </c>
      <c r="P291" s="827">
        <f t="shared" si="36"/>
        <v>0.3</v>
      </c>
      <c r="Q291" s="827">
        <f t="shared" si="36"/>
        <v>0.3</v>
      </c>
      <c r="R291" s="827">
        <f t="shared" si="36"/>
        <v>0.55000000000000004</v>
      </c>
      <c r="S291" s="827">
        <f t="shared" si="36"/>
        <v>0.55000000000000004</v>
      </c>
      <c r="T291" s="827">
        <f t="shared" si="36"/>
        <v>0.55000000000000004</v>
      </c>
      <c r="U291" s="827">
        <f t="shared" si="36"/>
        <v>0.55000000000000004</v>
      </c>
      <c r="V291" s="827">
        <f t="shared" si="36"/>
        <v>0.55000000000000004</v>
      </c>
      <c r="W291" s="827">
        <f t="shared" si="36"/>
        <v>0.55000000000000004</v>
      </c>
      <c r="X291" s="827">
        <f t="shared" si="36"/>
        <v>0.55000000000000004</v>
      </c>
      <c r="Y291" s="827">
        <f t="shared" si="36"/>
        <v>0.55000000000000004</v>
      </c>
      <c r="Z291" s="827">
        <f t="shared" si="36"/>
        <v>0.55000000000000004</v>
      </c>
      <c r="AA291" s="827">
        <f t="shared" si="36"/>
        <v>0.55000000000000004</v>
      </c>
      <c r="AB291" s="827">
        <f t="shared" si="36"/>
        <v>0.05</v>
      </c>
      <c r="AC291" s="831">
        <f t="shared" si="36"/>
        <v>0.05</v>
      </c>
    </row>
    <row r="292" spans="1:39" ht="34.15" hidden="1" customHeight="1">
      <c r="A292" s="1009" t="str">
        <f>A286</f>
        <v>Storage in Basement</v>
      </c>
      <c r="B292" s="1012" t="str">
        <f t="shared" ref="B292:AC292" si="37">B35</f>
        <v>Assembly</v>
      </c>
      <c r="C292" s="1012" t="str">
        <f t="shared" si="37"/>
        <v>ElecEquipment</v>
      </c>
      <c r="D292" s="1015" t="str">
        <f t="shared" si="37"/>
        <v>T24 2022 - Appendix 5.4B, [Assembly]</v>
      </c>
      <c r="E292" s="707" t="str">
        <f t="shared" si="37"/>
        <v>Weekday</v>
      </c>
      <c r="F292" s="809">
        <f t="shared" si="37"/>
        <v>0.05</v>
      </c>
      <c r="G292" s="809">
        <f t="shared" si="37"/>
        <v>0.05</v>
      </c>
      <c r="H292" s="809">
        <f t="shared" si="37"/>
        <v>0.05</v>
      </c>
      <c r="I292" s="809">
        <f t="shared" si="37"/>
        <v>0.05</v>
      </c>
      <c r="J292" s="809">
        <f t="shared" si="37"/>
        <v>0.05</v>
      </c>
      <c r="K292" s="809">
        <f t="shared" si="37"/>
        <v>0.05</v>
      </c>
      <c r="L292" s="809">
        <f t="shared" si="37"/>
        <v>0.4</v>
      </c>
      <c r="M292" s="809">
        <f t="shared" si="37"/>
        <v>0.4</v>
      </c>
      <c r="N292" s="809">
        <f t="shared" si="37"/>
        <v>0.4</v>
      </c>
      <c r="O292" s="809">
        <f t="shared" si="37"/>
        <v>0.75</v>
      </c>
      <c r="P292" s="809">
        <f t="shared" si="37"/>
        <v>0.75</v>
      </c>
      <c r="Q292" s="809">
        <f t="shared" si="37"/>
        <v>0.75</v>
      </c>
      <c r="R292" s="809">
        <f t="shared" si="37"/>
        <v>0.75</v>
      </c>
      <c r="S292" s="809">
        <f t="shared" si="37"/>
        <v>0.75</v>
      </c>
      <c r="T292" s="809">
        <f t="shared" si="37"/>
        <v>0.75</v>
      </c>
      <c r="U292" s="809">
        <f t="shared" si="37"/>
        <v>0.75</v>
      </c>
      <c r="V292" s="809">
        <f t="shared" si="37"/>
        <v>0.75</v>
      </c>
      <c r="W292" s="809">
        <f t="shared" si="37"/>
        <v>0.75</v>
      </c>
      <c r="X292" s="809">
        <f t="shared" si="37"/>
        <v>0.75</v>
      </c>
      <c r="Y292" s="809">
        <f t="shared" si="37"/>
        <v>0.75</v>
      </c>
      <c r="Z292" s="809">
        <f t="shared" si="37"/>
        <v>0.75</v>
      </c>
      <c r="AA292" s="809">
        <f t="shared" si="37"/>
        <v>0.75</v>
      </c>
      <c r="AB292" s="809">
        <f t="shared" si="37"/>
        <v>0.25</v>
      </c>
      <c r="AC292" s="812">
        <f t="shared" si="37"/>
        <v>0.05</v>
      </c>
    </row>
    <row r="293" spans="1:39" ht="34.15" hidden="1" customHeight="1">
      <c r="A293" s="1010"/>
      <c r="B293" s="1013">
        <f t="shared" ref="B293:AC293" si="38">B36</f>
        <v>0</v>
      </c>
      <c r="C293" s="1013">
        <f t="shared" si="38"/>
        <v>0</v>
      </c>
      <c r="D293" s="1016">
        <f t="shared" si="38"/>
        <v>0</v>
      </c>
      <c r="E293" s="708" t="str">
        <f t="shared" si="38"/>
        <v>Saturday</v>
      </c>
      <c r="F293" s="810">
        <f t="shared" si="38"/>
        <v>0.05</v>
      </c>
      <c r="G293" s="810">
        <f t="shared" si="38"/>
        <v>0.05</v>
      </c>
      <c r="H293" s="810">
        <f t="shared" si="38"/>
        <v>0.05</v>
      </c>
      <c r="I293" s="810">
        <f t="shared" si="38"/>
        <v>0.05</v>
      </c>
      <c r="J293" s="810">
        <f t="shared" si="38"/>
        <v>0.05</v>
      </c>
      <c r="K293" s="810">
        <f t="shared" si="38"/>
        <v>0.05</v>
      </c>
      <c r="L293" s="810">
        <f t="shared" si="38"/>
        <v>0.05</v>
      </c>
      <c r="M293" s="810">
        <f t="shared" si="38"/>
        <v>0.3</v>
      </c>
      <c r="N293" s="810">
        <f t="shared" si="38"/>
        <v>0.3</v>
      </c>
      <c r="O293" s="810">
        <f t="shared" si="38"/>
        <v>0.5</v>
      </c>
      <c r="P293" s="810">
        <f t="shared" si="38"/>
        <v>0.5</v>
      </c>
      <c r="Q293" s="810">
        <f t="shared" si="38"/>
        <v>0.5</v>
      </c>
      <c r="R293" s="810">
        <f t="shared" si="38"/>
        <v>0.5</v>
      </c>
      <c r="S293" s="810">
        <f t="shared" si="38"/>
        <v>0.5</v>
      </c>
      <c r="T293" s="810">
        <f t="shared" si="38"/>
        <v>0.5</v>
      </c>
      <c r="U293" s="810">
        <f t="shared" si="38"/>
        <v>0.5</v>
      </c>
      <c r="V293" s="810">
        <f t="shared" si="38"/>
        <v>0.5</v>
      </c>
      <c r="W293" s="810">
        <f t="shared" si="38"/>
        <v>0.5</v>
      </c>
      <c r="X293" s="810">
        <f t="shared" si="38"/>
        <v>0.5</v>
      </c>
      <c r="Y293" s="810">
        <f t="shared" si="38"/>
        <v>0.5</v>
      </c>
      <c r="Z293" s="810">
        <f t="shared" si="38"/>
        <v>0.5</v>
      </c>
      <c r="AA293" s="810">
        <f t="shared" si="38"/>
        <v>0.5</v>
      </c>
      <c r="AB293" s="810">
        <f t="shared" si="38"/>
        <v>0.5</v>
      </c>
      <c r="AC293" s="813">
        <f t="shared" si="38"/>
        <v>0.05</v>
      </c>
    </row>
    <row r="294" spans="1:39" ht="34.15" hidden="1" customHeight="1" thickBot="1">
      <c r="A294" s="1011"/>
      <c r="B294" s="1014">
        <f t="shared" ref="B294:AC294" si="39">B37</f>
        <v>0</v>
      </c>
      <c r="C294" s="1014">
        <f t="shared" si="39"/>
        <v>0</v>
      </c>
      <c r="D294" s="1017">
        <f t="shared" si="39"/>
        <v>0</v>
      </c>
      <c r="E294" s="709" t="str">
        <f t="shared" si="39"/>
        <v>Sunday</v>
      </c>
      <c r="F294" s="811">
        <f t="shared" si="39"/>
        <v>0.05</v>
      </c>
      <c r="G294" s="811">
        <f t="shared" si="39"/>
        <v>0.05</v>
      </c>
      <c r="H294" s="811">
        <f t="shared" si="39"/>
        <v>0.05</v>
      </c>
      <c r="I294" s="811">
        <f t="shared" si="39"/>
        <v>0.05</v>
      </c>
      <c r="J294" s="811">
        <f t="shared" si="39"/>
        <v>0.05</v>
      </c>
      <c r="K294" s="811">
        <f t="shared" si="39"/>
        <v>0.05</v>
      </c>
      <c r="L294" s="811">
        <f t="shared" si="39"/>
        <v>0.05</v>
      </c>
      <c r="M294" s="811">
        <f t="shared" si="39"/>
        <v>0.3</v>
      </c>
      <c r="N294" s="811">
        <f t="shared" si="39"/>
        <v>0.3</v>
      </c>
      <c r="O294" s="811">
        <f t="shared" si="39"/>
        <v>0.3</v>
      </c>
      <c r="P294" s="811">
        <f t="shared" si="39"/>
        <v>0.3</v>
      </c>
      <c r="Q294" s="811">
        <f t="shared" si="39"/>
        <v>0.3</v>
      </c>
      <c r="R294" s="811">
        <f t="shared" si="39"/>
        <v>0.65</v>
      </c>
      <c r="S294" s="811">
        <f t="shared" si="39"/>
        <v>0.65</v>
      </c>
      <c r="T294" s="811">
        <f t="shared" si="39"/>
        <v>0.65</v>
      </c>
      <c r="U294" s="811">
        <f t="shared" si="39"/>
        <v>0.65</v>
      </c>
      <c r="V294" s="811">
        <f t="shared" si="39"/>
        <v>0.65</v>
      </c>
      <c r="W294" s="811">
        <f t="shared" si="39"/>
        <v>0.65</v>
      </c>
      <c r="X294" s="811">
        <f t="shared" si="39"/>
        <v>0.65</v>
      </c>
      <c r="Y294" s="811">
        <f t="shared" si="39"/>
        <v>0.65</v>
      </c>
      <c r="Z294" s="811">
        <f t="shared" si="39"/>
        <v>0.65</v>
      </c>
      <c r="AA294" s="811">
        <f t="shared" si="39"/>
        <v>0.65</v>
      </c>
      <c r="AB294" s="811">
        <f t="shared" si="39"/>
        <v>0.05</v>
      </c>
      <c r="AC294" s="814">
        <f t="shared" si="39"/>
        <v>0.05</v>
      </c>
    </row>
    <row r="295" spans="1:39" ht="34.15" hidden="1" customHeight="1">
      <c r="A295" s="1018" t="str">
        <f>A286</f>
        <v>Storage in Basement</v>
      </c>
      <c r="B295" s="1020" t="str">
        <f t="shared" ref="B295:AC295" si="40">B38</f>
        <v>Assembly</v>
      </c>
      <c r="C295" s="1020" t="str">
        <f t="shared" si="40"/>
        <v>HVACAvail</v>
      </c>
      <c r="D295" s="1022" t="str">
        <f t="shared" si="40"/>
        <v>T24 2022 - Appendix 5.4B, [Assembly]</v>
      </c>
      <c r="E295" s="710" t="str">
        <f t="shared" si="40"/>
        <v>Weekday</v>
      </c>
      <c r="F295" s="828">
        <f t="shared" si="40"/>
        <v>0</v>
      </c>
      <c r="G295" s="828">
        <f t="shared" si="40"/>
        <v>0</v>
      </c>
      <c r="H295" s="828">
        <f t="shared" si="40"/>
        <v>0</v>
      </c>
      <c r="I295" s="828">
        <f t="shared" si="40"/>
        <v>0</v>
      </c>
      <c r="J295" s="828">
        <f t="shared" si="40"/>
        <v>0</v>
      </c>
      <c r="K295" s="828">
        <f t="shared" si="40"/>
        <v>0</v>
      </c>
      <c r="L295" s="828">
        <f t="shared" si="40"/>
        <v>0</v>
      </c>
      <c r="M295" s="828">
        <f t="shared" si="40"/>
        <v>1</v>
      </c>
      <c r="N295" s="828">
        <f t="shared" si="40"/>
        <v>1</v>
      </c>
      <c r="O295" s="828">
        <f t="shared" si="40"/>
        <v>1</v>
      </c>
      <c r="P295" s="828">
        <f t="shared" si="40"/>
        <v>1</v>
      </c>
      <c r="Q295" s="828">
        <f t="shared" si="40"/>
        <v>1</v>
      </c>
      <c r="R295" s="828">
        <f t="shared" si="40"/>
        <v>1</v>
      </c>
      <c r="S295" s="828">
        <f t="shared" si="40"/>
        <v>1</v>
      </c>
      <c r="T295" s="828">
        <f t="shared" si="40"/>
        <v>1</v>
      </c>
      <c r="U295" s="828">
        <f t="shared" si="40"/>
        <v>1</v>
      </c>
      <c r="V295" s="828">
        <f t="shared" si="40"/>
        <v>1</v>
      </c>
      <c r="W295" s="828">
        <f t="shared" si="40"/>
        <v>1</v>
      </c>
      <c r="X295" s="828">
        <f t="shared" si="40"/>
        <v>1</v>
      </c>
      <c r="Y295" s="828">
        <f t="shared" si="40"/>
        <v>1</v>
      </c>
      <c r="Z295" s="828">
        <f t="shared" si="40"/>
        <v>1</v>
      </c>
      <c r="AA295" s="828">
        <f t="shared" si="40"/>
        <v>1</v>
      </c>
      <c r="AB295" s="828">
        <f t="shared" si="40"/>
        <v>1</v>
      </c>
      <c r="AC295" s="830">
        <f t="shared" si="40"/>
        <v>0</v>
      </c>
    </row>
    <row r="296" spans="1:39" ht="34.15" hidden="1" customHeight="1">
      <c r="A296" s="1010"/>
      <c r="B296" s="1013">
        <f t="shared" ref="B296:AC296" si="41">B39</f>
        <v>0</v>
      </c>
      <c r="C296" s="1013">
        <f t="shared" si="41"/>
        <v>0</v>
      </c>
      <c r="D296" s="1016">
        <f t="shared" si="41"/>
        <v>0</v>
      </c>
      <c r="E296" s="708" t="str">
        <f t="shared" si="41"/>
        <v>Saturday</v>
      </c>
      <c r="F296" s="810">
        <f t="shared" si="41"/>
        <v>0</v>
      </c>
      <c r="G296" s="810">
        <f t="shared" si="41"/>
        <v>0</v>
      </c>
      <c r="H296" s="810">
        <f t="shared" si="41"/>
        <v>0</v>
      </c>
      <c r="I296" s="810">
        <f t="shared" si="41"/>
        <v>0</v>
      </c>
      <c r="J296" s="810">
        <f t="shared" si="41"/>
        <v>0</v>
      </c>
      <c r="K296" s="810">
        <f t="shared" si="41"/>
        <v>0</v>
      </c>
      <c r="L296" s="810">
        <f t="shared" si="41"/>
        <v>0</v>
      </c>
      <c r="M296" s="810">
        <f t="shared" si="41"/>
        <v>1</v>
      </c>
      <c r="N296" s="810">
        <f t="shared" si="41"/>
        <v>1</v>
      </c>
      <c r="O296" s="810">
        <f t="shared" si="41"/>
        <v>1</v>
      </c>
      <c r="P296" s="810">
        <f t="shared" si="41"/>
        <v>1</v>
      </c>
      <c r="Q296" s="810">
        <f t="shared" si="41"/>
        <v>1</v>
      </c>
      <c r="R296" s="810">
        <f t="shared" si="41"/>
        <v>1</v>
      </c>
      <c r="S296" s="810">
        <f t="shared" si="41"/>
        <v>1</v>
      </c>
      <c r="T296" s="810">
        <f t="shared" si="41"/>
        <v>1</v>
      </c>
      <c r="U296" s="810">
        <f t="shared" si="41"/>
        <v>1</v>
      </c>
      <c r="V296" s="810">
        <f t="shared" si="41"/>
        <v>1</v>
      </c>
      <c r="W296" s="810">
        <f t="shared" si="41"/>
        <v>1</v>
      </c>
      <c r="X296" s="810">
        <f t="shared" si="41"/>
        <v>1</v>
      </c>
      <c r="Y296" s="810">
        <f t="shared" si="41"/>
        <v>1</v>
      </c>
      <c r="Z296" s="810">
        <f t="shared" si="41"/>
        <v>1</v>
      </c>
      <c r="AA296" s="810">
        <f t="shared" si="41"/>
        <v>1</v>
      </c>
      <c r="AB296" s="810">
        <f t="shared" si="41"/>
        <v>1</v>
      </c>
      <c r="AC296" s="813">
        <f t="shared" si="41"/>
        <v>0</v>
      </c>
    </row>
    <row r="297" spans="1:39" ht="34.15" hidden="1" customHeight="1" thickBot="1">
      <c r="A297" s="1019"/>
      <c r="B297" s="1021">
        <f t="shared" ref="B297:AC297" si="42">B40</f>
        <v>0</v>
      </c>
      <c r="C297" s="1021">
        <f t="shared" si="42"/>
        <v>0</v>
      </c>
      <c r="D297" s="1023">
        <f t="shared" si="42"/>
        <v>0</v>
      </c>
      <c r="E297" s="711" t="str">
        <f t="shared" si="42"/>
        <v>Sunday</v>
      </c>
      <c r="F297" s="827">
        <f t="shared" si="42"/>
        <v>0</v>
      </c>
      <c r="G297" s="827">
        <f t="shared" si="42"/>
        <v>0</v>
      </c>
      <c r="H297" s="827">
        <f t="shared" si="42"/>
        <v>0</v>
      </c>
      <c r="I297" s="827">
        <f t="shared" si="42"/>
        <v>0</v>
      </c>
      <c r="J297" s="827">
        <f t="shared" si="42"/>
        <v>0</v>
      </c>
      <c r="K297" s="827">
        <f t="shared" si="42"/>
        <v>0</v>
      </c>
      <c r="L297" s="827">
        <f t="shared" si="42"/>
        <v>0</v>
      </c>
      <c r="M297" s="827">
        <f t="shared" si="42"/>
        <v>1</v>
      </c>
      <c r="N297" s="827">
        <f t="shared" si="42"/>
        <v>1</v>
      </c>
      <c r="O297" s="827">
        <f t="shared" si="42"/>
        <v>1</v>
      </c>
      <c r="P297" s="827">
        <f t="shared" si="42"/>
        <v>1</v>
      </c>
      <c r="Q297" s="827">
        <f t="shared" si="42"/>
        <v>1</v>
      </c>
      <c r="R297" s="827">
        <f t="shared" si="42"/>
        <v>1</v>
      </c>
      <c r="S297" s="827">
        <f t="shared" si="42"/>
        <v>1</v>
      </c>
      <c r="T297" s="827">
        <f t="shared" si="42"/>
        <v>1</v>
      </c>
      <c r="U297" s="827">
        <f t="shared" si="42"/>
        <v>1</v>
      </c>
      <c r="V297" s="827">
        <f t="shared" si="42"/>
        <v>1</v>
      </c>
      <c r="W297" s="827">
        <f t="shared" si="42"/>
        <v>1</v>
      </c>
      <c r="X297" s="827">
        <f t="shared" si="42"/>
        <v>1</v>
      </c>
      <c r="Y297" s="827">
        <f t="shared" si="42"/>
        <v>1</v>
      </c>
      <c r="Z297" s="827">
        <f t="shared" si="42"/>
        <v>1</v>
      </c>
      <c r="AA297" s="827">
        <f t="shared" si="42"/>
        <v>1</v>
      </c>
      <c r="AB297" s="827">
        <f t="shared" si="42"/>
        <v>1</v>
      </c>
      <c r="AC297" s="831">
        <f t="shared" si="42"/>
        <v>0</v>
      </c>
    </row>
    <row r="298" spans="1:39" ht="34.15" hidden="1" customHeight="1">
      <c r="A298" s="1009" t="str">
        <f>A286</f>
        <v>Storage in Basement</v>
      </c>
      <c r="B298" s="1012" t="str">
        <f t="shared" ref="B298:AC298" si="43">B41</f>
        <v>Assembly</v>
      </c>
      <c r="C298" s="1012" t="str">
        <f t="shared" si="43"/>
        <v>ServiceHotWater</v>
      </c>
      <c r="D298" s="1015" t="str">
        <f t="shared" si="43"/>
        <v>T24 2022 - Appendix 5.4B, [Assembly]</v>
      </c>
      <c r="E298" s="707" t="str">
        <f t="shared" si="43"/>
        <v>Weekday</v>
      </c>
      <c r="F298" s="809">
        <f t="shared" si="43"/>
        <v>0</v>
      </c>
      <c r="G298" s="809">
        <f t="shared" si="43"/>
        <v>0</v>
      </c>
      <c r="H298" s="809">
        <f t="shared" si="43"/>
        <v>0</v>
      </c>
      <c r="I298" s="809">
        <f t="shared" si="43"/>
        <v>0</v>
      </c>
      <c r="J298" s="809">
        <f t="shared" si="43"/>
        <v>0</v>
      </c>
      <c r="K298" s="809">
        <f t="shared" si="43"/>
        <v>0</v>
      </c>
      <c r="L298" s="809">
        <f t="shared" si="43"/>
        <v>0</v>
      </c>
      <c r="M298" s="809">
        <f t="shared" si="43"/>
        <v>0</v>
      </c>
      <c r="N298" s="809">
        <f t="shared" si="43"/>
        <v>0</v>
      </c>
      <c r="O298" s="809">
        <f t="shared" si="43"/>
        <v>0.05</v>
      </c>
      <c r="P298" s="809">
        <f t="shared" si="43"/>
        <v>0.05</v>
      </c>
      <c r="Q298" s="809">
        <f t="shared" si="43"/>
        <v>0.35</v>
      </c>
      <c r="R298" s="809">
        <f t="shared" si="43"/>
        <v>0.05</v>
      </c>
      <c r="S298" s="809">
        <f t="shared" si="43"/>
        <v>0.05</v>
      </c>
      <c r="T298" s="809">
        <f t="shared" si="43"/>
        <v>0.05</v>
      </c>
      <c r="U298" s="809">
        <f t="shared" si="43"/>
        <v>0.05</v>
      </c>
      <c r="V298" s="809">
        <f t="shared" si="43"/>
        <v>0.05</v>
      </c>
      <c r="W298" s="809">
        <f t="shared" si="43"/>
        <v>0</v>
      </c>
      <c r="X298" s="809">
        <f t="shared" si="43"/>
        <v>0</v>
      </c>
      <c r="Y298" s="809">
        <f t="shared" si="43"/>
        <v>0</v>
      </c>
      <c r="Z298" s="809">
        <f t="shared" si="43"/>
        <v>0</v>
      </c>
      <c r="AA298" s="809">
        <f t="shared" si="43"/>
        <v>0</v>
      </c>
      <c r="AB298" s="809">
        <f t="shared" si="43"/>
        <v>0</v>
      </c>
      <c r="AC298" s="812">
        <f t="shared" si="43"/>
        <v>0</v>
      </c>
    </row>
    <row r="299" spans="1:39" ht="34.15" hidden="1" customHeight="1">
      <c r="A299" s="1010"/>
      <c r="B299" s="1013">
        <f t="shared" ref="B299:AC299" si="44">B42</f>
        <v>0</v>
      </c>
      <c r="C299" s="1013">
        <f t="shared" si="44"/>
        <v>0</v>
      </c>
      <c r="D299" s="1016">
        <f t="shared" si="44"/>
        <v>0</v>
      </c>
      <c r="E299" s="708" t="str">
        <f t="shared" si="44"/>
        <v>Saturday</v>
      </c>
      <c r="F299" s="810">
        <f t="shared" si="44"/>
        <v>0</v>
      </c>
      <c r="G299" s="810">
        <f t="shared" si="44"/>
        <v>0</v>
      </c>
      <c r="H299" s="810">
        <f t="shared" si="44"/>
        <v>0</v>
      </c>
      <c r="I299" s="810">
        <f t="shared" si="44"/>
        <v>0</v>
      </c>
      <c r="J299" s="810">
        <f t="shared" si="44"/>
        <v>0</v>
      </c>
      <c r="K299" s="810">
        <f t="shared" si="44"/>
        <v>0</v>
      </c>
      <c r="L299" s="810">
        <f t="shared" si="44"/>
        <v>0</v>
      </c>
      <c r="M299" s="810">
        <f t="shared" si="44"/>
        <v>0</v>
      </c>
      <c r="N299" s="810">
        <f t="shared" si="44"/>
        <v>0</v>
      </c>
      <c r="O299" s="810">
        <f t="shared" si="44"/>
        <v>0.05</v>
      </c>
      <c r="P299" s="810">
        <f t="shared" si="44"/>
        <v>0.05</v>
      </c>
      <c r="Q299" s="810">
        <f t="shared" si="44"/>
        <v>0.2</v>
      </c>
      <c r="R299" s="810">
        <f t="shared" si="44"/>
        <v>0</v>
      </c>
      <c r="S299" s="810">
        <f t="shared" si="44"/>
        <v>0</v>
      </c>
      <c r="T299" s="810">
        <f t="shared" si="44"/>
        <v>0</v>
      </c>
      <c r="U299" s="810">
        <f t="shared" si="44"/>
        <v>0</v>
      </c>
      <c r="V299" s="810">
        <f t="shared" si="44"/>
        <v>0</v>
      </c>
      <c r="W299" s="810">
        <f t="shared" si="44"/>
        <v>0</v>
      </c>
      <c r="X299" s="810">
        <f t="shared" si="44"/>
        <v>0</v>
      </c>
      <c r="Y299" s="810">
        <f t="shared" si="44"/>
        <v>0.65</v>
      </c>
      <c r="Z299" s="810">
        <f t="shared" si="44"/>
        <v>0.3</v>
      </c>
      <c r="AA299" s="810">
        <f t="shared" si="44"/>
        <v>0</v>
      </c>
      <c r="AB299" s="810">
        <f t="shared" si="44"/>
        <v>0</v>
      </c>
      <c r="AC299" s="813">
        <f t="shared" si="44"/>
        <v>0</v>
      </c>
    </row>
    <row r="300" spans="1:39" ht="34.15" hidden="1" customHeight="1" thickBot="1">
      <c r="A300" s="1011"/>
      <c r="B300" s="1014">
        <f t="shared" ref="B300:AC300" si="45">B43</f>
        <v>0</v>
      </c>
      <c r="C300" s="1014">
        <f t="shared" si="45"/>
        <v>0</v>
      </c>
      <c r="D300" s="1017">
        <f t="shared" si="45"/>
        <v>0</v>
      </c>
      <c r="E300" s="709" t="str">
        <f t="shared" si="45"/>
        <v>Sunday</v>
      </c>
      <c r="F300" s="811">
        <f t="shared" si="45"/>
        <v>0</v>
      </c>
      <c r="G300" s="811">
        <f t="shared" si="45"/>
        <v>0</v>
      </c>
      <c r="H300" s="811">
        <f t="shared" si="45"/>
        <v>0</v>
      </c>
      <c r="I300" s="811">
        <f t="shared" si="45"/>
        <v>0</v>
      </c>
      <c r="J300" s="811">
        <f t="shared" si="45"/>
        <v>0</v>
      </c>
      <c r="K300" s="811">
        <f t="shared" si="45"/>
        <v>0</v>
      </c>
      <c r="L300" s="811">
        <f t="shared" si="45"/>
        <v>0</v>
      </c>
      <c r="M300" s="811">
        <f t="shared" si="45"/>
        <v>0</v>
      </c>
      <c r="N300" s="811">
        <f t="shared" si="45"/>
        <v>0</v>
      </c>
      <c r="O300" s="811">
        <f t="shared" si="45"/>
        <v>0.05</v>
      </c>
      <c r="P300" s="811">
        <f t="shared" si="45"/>
        <v>0.05</v>
      </c>
      <c r="Q300" s="811">
        <f t="shared" si="45"/>
        <v>0.1</v>
      </c>
      <c r="R300" s="811">
        <f t="shared" si="45"/>
        <v>0</v>
      </c>
      <c r="S300" s="811">
        <f t="shared" si="45"/>
        <v>0</v>
      </c>
      <c r="T300" s="811">
        <f t="shared" si="45"/>
        <v>0</v>
      </c>
      <c r="U300" s="811">
        <f t="shared" si="45"/>
        <v>0</v>
      </c>
      <c r="V300" s="811">
        <f t="shared" si="45"/>
        <v>0</v>
      </c>
      <c r="W300" s="811">
        <f t="shared" si="45"/>
        <v>0</v>
      </c>
      <c r="X300" s="811">
        <f t="shared" si="45"/>
        <v>0</v>
      </c>
      <c r="Y300" s="811">
        <f t="shared" si="45"/>
        <v>0.65</v>
      </c>
      <c r="Z300" s="811">
        <f t="shared" si="45"/>
        <v>0.3</v>
      </c>
      <c r="AA300" s="811">
        <f t="shared" si="45"/>
        <v>0</v>
      </c>
      <c r="AB300" s="811">
        <f t="shared" si="45"/>
        <v>0</v>
      </c>
      <c r="AC300" s="814">
        <f t="shared" si="45"/>
        <v>0</v>
      </c>
    </row>
    <row r="301" spans="1:39" ht="38.450000000000003" hidden="1" customHeight="1">
      <c r="A301" s="637"/>
      <c r="C301" s="637"/>
      <c r="D301" s="692"/>
      <c r="E301" s="676"/>
      <c r="F301" s="693"/>
      <c r="G301" s="693"/>
      <c r="H301" s="693"/>
      <c r="I301" s="693"/>
      <c r="J301" s="693"/>
      <c r="K301" s="693"/>
      <c r="L301" s="693"/>
      <c r="M301" s="693"/>
      <c r="N301" s="693"/>
      <c r="O301" s="693"/>
      <c r="P301" s="693"/>
      <c r="Q301" s="693"/>
      <c r="R301" s="693"/>
      <c r="S301" s="693"/>
      <c r="T301" s="693"/>
      <c r="U301" s="693"/>
      <c r="V301" s="693"/>
      <c r="W301" s="693"/>
      <c r="X301" s="693"/>
      <c r="Y301" s="693"/>
      <c r="Z301" s="693"/>
      <c r="AA301" s="693"/>
      <c r="AB301" s="693"/>
      <c r="AC301" s="693"/>
      <c r="AD301" s="41"/>
      <c r="AE301" s="41"/>
      <c r="AF301" s="41"/>
      <c r="AG301" s="41"/>
      <c r="AH301" s="41"/>
      <c r="AI301" s="41"/>
      <c r="AJ301" s="41"/>
      <c r="AK301" s="41"/>
      <c r="AM301" s="52"/>
    </row>
    <row r="302" spans="1:39" s="468" customFormat="1" ht="21.6" hidden="1" customHeight="1">
      <c r="A302" s="694" t="s">
        <v>770</v>
      </c>
      <c r="D302" s="494"/>
      <c r="E302" s="494"/>
      <c r="F302" s="494"/>
      <c r="G302" s="494"/>
    </row>
    <row r="303" spans="1:39" hidden="1"/>
    <row r="304" spans="1:39" ht="13.15" hidden="1">
      <c r="A304" s="1142" t="s">
        <v>701</v>
      </c>
      <c r="C304" s="1142" t="s">
        <v>702</v>
      </c>
      <c r="D304" s="1142" t="s">
        <v>233</v>
      </c>
      <c r="E304" s="1142" t="s">
        <v>703</v>
      </c>
      <c r="F304" s="1186" t="s">
        <v>704</v>
      </c>
      <c r="G304" s="1186"/>
      <c r="H304" s="1186"/>
      <c r="I304" s="1186"/>
      <c r="J304" s="1186"/>
      <c r="K304" s="1186"/>
      <c r="L304" s="1186"/>
      <c r="M304" s="1186"/>
      <c r="N304" s="1186"/>
      <c r="O304" s="1186"/>
      <c r="P304" s="1186"/>
      <c r="Q304" s="1186"/>
      <c r="R304" s="1186"/>
      <c r="S304" s="1186"/>
      <c r="T304" s="1186"/>
      <c r="U304" s="1186"/>
      <c r="V304" s="1186"/>
      <c r="W304" s="1186"/>
      <c r="X304" s="1186"/>
      <c r="Y304" s="1186"/>
      <c r="Z304" s="1186"/>
      <c r="AA304" s="1186"/>
      <c r="AB304" s="1186"/>
      <c r="AC304" s="1186"/>
    </row>
    <row r="305" spans="1:37" ht="24" hidden="1" customHeight="1" thickBot="1">
      <c r="A305" s="1143"/>
      <c r="C305" s="1143"/>
      <c r="D305" s="1143"/>
      <c r="E305" s="1143"/>
      <c r="F305" s="816">
        <v>1</v>
      </c>
      <c r="G305" s="816">
        <v>2</v>
      </c>
      <c r="H305" s="816">
        <v>3</v>
      </c>
      <c r="I305" s="816">
        <v>4</v>
      </c>
      <c r="J305" s="816">
        <v>5</v>
      </c>
      <c r="K305" s="816">
        <v>6</v>
      </c>
      <c r="L305" s="816">
        <v>7</v>
      </c>
      <c r="M305" s="816">
        <v>8</v>
      </c>
      <c r="N305" s="816">
        <v>9</v>
      </c>
      <c r="O305" s="816">
        <v>10</v>
      </c>
      <c r="P305" s="816">
        <v>11</v>
      </c>
      <c r="Q305" s="816">
        <v>12</v>
      </c>
      <c r="R305" s="816">
        <v>13</v>
      </c>
      <c r="S305" s="816">
        <v>14</v>
      </c>
      <c r="T305" s="816">
        <v>15</v>
      </c>
      <c r="U305" s="816">
        <v>16</v>
      </c>
      <c r="V305" s="816">
        <v>17</v>
      </c>
      <c r="W305" s="816">
        <v>18</v>
      </c>
      <c r="X305" s="816">
        <v>19</v>
      </c>
      <c r="Y305" s="816">
        <v>20</v>
      </c>
      <c r="Z305" s="816">
        <v>21</v>
      </c>
      <c r="AA305" s="816">
        <v>22</v>
      </c>
      <c r="AB305" s="816">
        <v>23</v>
      </c>
      <c r="AC305" s="816">
        <v>24</v>
      </c>
      <c r="AD305" s="40"/>
      <c r="AE305" s="40"/>
      <c r="AF305" s="40"/>
      <c r="AG305" s="40"/>
      <c r="AH305" s="40"/>
      <c r="AI305" s="41"/>
      <c r="AJ305" s="41"/>
      <c r="AK305" s="41"/>
    </row>
    <row r="306" spans="1:37" ht="25.15" hidden="1" customHeight="1">
      <c r="A306" s="1158" t="s">
        <v>771</v>
      </c>
      <c r="C306" s="1155" t="s">
        <v>669</v>
      </c>
      <c r="D306" s="1190" t="s">
        <v>772</v>
      </c>
      <c r="E306" s="100" t="s">
        <v>517</v>
      </c>
      <c r="F306" s="93">
        <v>0.12</v>
      </c>
      <c r="G306" s="93">
        <v>0.12</v>
      </c>
      <c r="H306" s="93">
        <v>0.12</v>
      </c>
      <c r="I306" s="93">
        <v>0.12</v>
      </c>
      <c r="J306" s="93">
        <v>0.12</v>
      </c>
      <c r="K306" s="93">
        <v>0.2</v>
      </c>
      <c r="L306" s="93">
        <v>0.4</v>
      </c>
      <c r="M306" s="93">
        <v>0.5</v>
      </c>
      <c r="N306" s="93">
        <v>0.5</v>
      </c>
      <c r="O306" s="93">
        <v>0.35</v>
      </c>
      <c r="P306" s="93">
        <v>0.15</v>
      </c>
      <c r="Q306" s="93">
        <v>0.15</v>
      </c>
      <c r="R306" s="93">
        <v>0.15</v>
      </c>
      <c r="S306" s="93">
        <v>0.15</v>
      </c>
      <c r="T306" s="93">
        <v>0.15</v>
      </c>
      <c r="U306" s="93">
        <v>0.15</v>
      </c>
      <c r="V306" s="93">
        <v>0.35</v>
      </c>
      <c r="W306" s="93">
        <v>0.5</v>
      </c>
      <c r="X306" s="93">
        <v>0.5</v>
      </c>
      <c r="Y306" s="93">
        <v>0.4</v>
      </c>
      <c r="Z306" s="93">
        <v>0.4</v>
      </c>
      <c r="AA306" s="93">
        <v>0.3</v>
      </c>
      <c r="AB306" s="93">
        <v>0.2</v>
      </c>
      <c r="AC306" s="94">
        <v>0.12</v>
      </c>
      <c r="AD306" s="41"/>
      <c r="AE306" s="41"/>
      <c r="AF306" s="41"/>
      <c r="AG306" s="41"/>
      <c r="AH306" s="41"/>
      <c r="AI306" s="41"/>
      <c r="AJ306" s="41"/>
      <c r="AK306" s="41"/>
    </row>
    <row r="307" spans="1:37" hidden="1">
      <c r="A307" s="1159"/>
      <c r="C307" s="1156"/>
      <c r="D307" s="1165"/>
      <c r="E307" s="101" t="s">
        <v>524</v>
      </c>
      <c r="F307" s="90">
        <v>0.12</v>
      </c>
      <c r="G307" s="90">
        <v>0.12</v>
      </c>
      <c r="H307" s="90">
        <v>0.12</v>
      </c>
      <c r="I307" s="90">
        <v>0.12</v>
      </c>
      <c r="J307" s="90">
        <v>0.12</v>
      </c>
      <c r="K307" s="90">
        <v>0.2</v>
      </c>
      <c r="L307" s="90">
        <v>0.4</v>
      </c>
      <c r="M307" s="90">
        <v>0.5</v>
      </c>
      <c r="N307" s="90">
        <v>0.5</v>
      </c>
      <c r="O307" s="90">
        <v>0.35</v>
      </c>
      <c r="P307" s="90">
        <v>0.15</v>
      </c>
      <c r="Q307" s="90">
        <v>0.15</v>
      </c>
      <c r="R307" s="90">
        <v>0.15</v>
      </c>
      <c r="S307" s="90">
        <v>0.15</v>
      </c>
      <c r="T307" s="90">
        <v>0.15</v>
      </c>
      <c r="U307" s="90">
        <v>0.15</v>
      </c>
      <c r="V307" s="90">
        <v>0.35</v>
      </c>
      <c r="W307" s="90">
        <v>0.5</v>
      </c>
      <c r="X307" s="90">
        <v>0.5</v>
      </c>
      <c r="Y307" s="90">
        <v>0.4</v>
      </c>
      <c r="Z307" s="90">
        <v>0.4</v>
      </c>
      <c r="AA307" s="90">
        <v>0.3</v>
      </c>
      <c r="AB307" s="90">
        <v>0.2</v>
      </c>
      <c r="AC307" s="95">
        <v>0.12</v>
      </c>
      <c r="AD307" s="41"/>
      <c r="AE307" s="41"/>
      <c r="AF307" s="41"/>
      <c r="AG307" s="41"/>
      <c r="AH307" s="41"/>
      <c r="AI307" s="41"/>
      <c r="AJ307" s="41"/>
      <c r="AK307" s="41"/>
    </row>
    <row r="308" spans="1:37" ht="12" hidden="1" thickBot="1">
      <c r="A308" s="1160"/>
      <c r="C308" s="1157"/>
      <c r="D308" s="1191"/>
      <c r="E308" s="102" t="s">
        <v>526</v>
      </c>
      <c r="F308" s="91">
        <v>0.12</v>
      </c>
      <c r="G308" s="91">
        <v>0.12</v>
      </c>
      <c r="H308" s="91">
        <v>0.12</v>
      </c>
      <c r="I308" s="91">
        <v>0.12</v>
      </c>
      <c r="J308" s="91">
        <v>0.12</v>
      </c>
      <c r="K308" s="91">
        <v>0.2</v>
      </c>
      <c r="L308" s="91">
        <v>0.4</v>
      </c>
      <c r="M308" s="91">
        <v>0.5</v>
      </c>
      <c r="N308" s="91">
        <v>0.5</v>
      </c>
      <c r="O308" s="91">
        <v>0.35</v>
      </c>
      <c r="P308" s="91">
        <v>0.15</v>
      </c>
      <c r="Q308" s="91">
        <v>0.15</v>
      </c>
      <c r="R308" s="91">
        <v>0.15</v>
      </c>
      <c r="S308" s="91">
        <v>0.15</v>
      </c>
      <c r="T308" s="91">
        <v>0.15</v>
      </c>
      <c r="U308" s="91">
        <v>0.15</v>
      </c>
      <c r="V308" s="91">
        <v>0.35</v>
      </c>
      <c r="W308" s="91">
        <v>0.5</v>
      </c>
      <c r="X308" s="91">
        <v>0.5</v>
      </c>
      <c r="Y308" s="91">
        <v>0.4</v>
      </c>
      <c r="Z308" s="91">
        <v>0.4</v>
      </c>
      <c r="AA308" s="91">
        <v>0.3</v>
      </c>
      <c r="AB308" s="91">
        <v>0.2</v>
      </c>
      <c r="AC308" s="96">
        <v>0.12</v>
      </c>
      <c r="AD308" s="41"/>
      <c r="AE308" s="41"/>
      <c r="AF308" s="41"/>
      <c r="AG308" s="41"/>
      <c r="AH308" s="41"/>
      <c r="AI308" s="41"/>
      <c r="AJ308" s="41"/>
      <c r="AK308" s="41"/>
    </row>
    <row r="309" spans="1:37" hidden="1">
      <c r="A309" s="1158" t="s">
        <v>771</v>
      </c>
      <c r="C309" s="1155" t="s">
        <v>773</v>
      </c>
      <c r="D309" s="1190" t="s">
        <v>774</v>
      </c>
      <c r="E309" s="100" t="s">
        <v>517</v>
      </c>
      <c r="F309" s="93">
        <v>0</v>
      </c>
      <c r="G309" s="93">
        <v>0</v>
      </c>
      <c r="H309" s="93">
        <v>0</v>
      </c>
      <c r="I309" s="93">
        <v>0</v>
      </c>
      <c r="J309" s="93">
        <v>0</v>
      </c>
      <c r="K309" s="93">
        <v>0</v>
      </c>
      <c r="L309" s="93">
        <v>0</v>
      </c>
      <c r="M309" s="93">
        <v>0</v>
      </c>
      <c r="N309" s="93">
        <v>0.2</v>
      </c>
      <c r="O309" s="93">
        <v>0.2</v>
      </c>
      <c r="P309" s="93">
        <v>0.2</v>
      </c>
      <c r="Q309" s="93">
        <v>0.8</v>
      </c>
      <c r="R309" s="93">
        <v>0.8</v>
      </c>
      <c r="S309" s="93">
        <v>0.8</v>
      </c>
      <c r="T309" s="93">
        <v>0.8</v>
      </c>
      <c r="U309" s="93">
        <v>0.8</v>
      </c>
      <c r="V309" s="93">
        <v>0.8</v>
      </c>
      <c r="W309" s="93">
        <v>0.8</v>
      </c>
      <c r="X309" s="93">
        <v>0.2</v>
      </c>
      <c r="Y309" s="93">
        <v>0.2</v>
      </c>
      <c r="Z309" s="93">
        <v>0.2</v>
      </c>
      <c r="AA309" s="93">
        <v>0.2</v>
      </c>
      <c r="AB309" s="93">
        <v>0.1</v>
      </c>
      <c r="AC309" s="94">
        <v>0</v>
      </c>
      <c r="AD309" s="41"/>
      <c r="AE309" s="41"/>
      <c r="AF309" s="41"/>
      <c r="AG309" s="41"/>
      <c r="AH309" s="41"/>
      <c r="AI309" s="41"/>
      <c r="AJ309" s="41"/>
      <c r="AK309" s="41"/>
    </row>
    <row r="310" spans="1:37" hidden="1">
      <c r="A310" s="1159"/>
      <c r="C310" s="1156"/>
      <c r="D310" s="1165"/>
      <c r="E310" s="101" t="s">
        <v>524</v>
      </c>
      <c r="F310" s="90">
        <v>0</v>
      </c>
      <c r="G310" s="90">
        <v>0</v>
      </c>
      <c r="H310" s="90">
        <v>0</v>
      </c>
      <c r="I310" s="90">
        <v>0</v>
      </c>
      <c r="J310" s="90">
        <v>0</v>
      </c>
      <c r="K310" s="90">
        <v>0</v>
      </c>
      <c r="L310" s="90">
        <v>0</v>
      </c>
      <c r="M310" s="90">
        <v>0</v>
      </c>
      <c r="N310" s="90">
        <v>0.2</v>
      </c>
      <c r="O310" s="90">
        <v>0.2</v>
      </c>
      <c r="P310" s="90">
        <v>0.2</v>
      </c>
      <c r="Q310" s="90">
        <v>0.6</v>
      </c>
      <c r="R310" s="90">
        <v>0.6</v>
      </c>
      <c r="S310" s="90">
        <v>0.6</v>
      </c>
      <c r="T310" s="90">
        <v>0.6</v>
      </c>
      <c r="U310" s="90">
        <v>0.6</v>
      </c>
      <c r="V310" s="90">
        <v>0.6</v>
      </c>
      <c r="W310" s="90">
        <v>0.6</v>
      </c>
      <c r="X310" s="90">
        <v>0.6</v>
      </c>
      <c r="Y310" s="90">
        <v>0.6</v>
      </c>
      <c r="Z310" s="90">
        <v>0.6</v>
      </c>
      <c r="AA310" s="90">
        <v>0.8</v>
      </c>
      <c r="AB310" s="90">
        <v>0.1</v>
      </c>
      <c r="AC310" s="95">
        <v>0</v>
      </c>
    </row>
    <row r="311" spans="1:37" ht="12" hidden="1" thickBot="1">
      <c r="A311" s="1160"/>
      <c r="C311" s="1157"/>
      <c r="D311" s="1191"/>
      <c r="E311" s="102" t="s">
        <v>526</v>
      </c>
      <c r="F311" s="91">
        <v>0</v>
      </c>
      <c r="G311" s="91">
        <v>0</v>
      </c>
      <c r="H311" s="91">
        <v>0</v>
      </c>
      <c r="I311" s="91">
        <v>0</v>
      </c>
      <c r="J311" s="91">
        <v>0</v>
      </c>
      <c r="K311" s="91">
        <v>0</v>
      </c>
      <c r="L311" s="91">
        <v>0</v>
      </c>
      <c r="M311" s="91">
        <v>0</v>
      </c>
      <c r="N311" s="91">
        <v>0.1</v>
      </c>
      <c r="O311" s="91">
        <v>0.1</v>
      </c>
      <c r="P311" s="91">
        <v>0.1</v>
      </c>
      <c r="Q311" s="91">
        <v>0.1</v>
      </c>
      <c r="R311" s="91">
        <v>0.1</v>
      </c>
      <c r="S311" s="91">
        <v>0.7</v>
      </c>
      <c r="T311" s="91">
        <v>0.7</v>
      </c>
      <c r="U311" s="91">
        <v>0.7</v>
      </c>
      <c r="V311" s="91">
        <v>0.7</v>
      </c>
      <c r="W311" s="91">
        <v>0.7</v>
      </c>
      <c r="X311" s="91">
        <v>0.7</v>
      </c>
      <c r="Y311" s="91">
        <v>0.7</v>
      </c>
      <c r="Z311" s="91">
        <v>0.7</v>
      </c>
      <c r="AA311" s="91">
        <v>0.7</v>
      </c>
      <c r="AB311" s="91">
        <v>0.2</v>
      </c>
      <c r="AC311" s="96">
        <v>0</v>
      </c>
    </row>
    <row r="312" spans="1:37" hidden="1">
      <c r="A312" s="1158" t="s">
        <v>771</v>
      </c>
      <c r="C312" s="1155" t="s">
        <v>775</v>
      </c>
      <c r="D312" s="1190" t="s">
        <v>774</v>
      </c>
      <c r="E312" s="100" t="s">
        <v>517</v>
      </c>
      <c r="F312" s="93">
        <v>0.05</v>
      </c>
      <c r="G312" s="93">
        <v>0.05</v>
      </c>
      <c r="H312" s="93">
        <v>0.05</v>
      </c>
      <c r="I312" s="93">
        <v>0.05</v>
      </c>
      <c r="J312" s="93">
        <v>0.05</v>
      </c>
      <c r="K312" s="93">
        <v>0.05</v>
      </c>
      <c r="L312" s="93">
        <v>0.35</v>
      </c>
      <c r="M312" s="93">
        <v>0.35</v>
      </c>
      <c r="N312" s="93">
        <v>0.35</v>
      </c>
      <c r="O312" s="93">
        <v>0.65</v>
      </c>
      <c r="P312" s="93">
        <v>0.65</v>
      </c>
      <c r="Q312" s="93">
        <v>0.65</v>
      </c>
      <c r="R312" s="93">
        <v>0.65</v>
      </c>
      <c r="S312" s="93">
        <v>0.65</v>
      </c>
      <c r="T312" s="93">
        <v>0.65</v>
      </c>
      <c r="U312" s="93">
        <v>0.65</v>
      </c>
      <c r="V312" s="93">
        <v>0.65</v>
      </c>
      <c r="W312" s="93">
        <v>0.65</v>
      </c>
      <c r="X312" s="93">
        <v>0.65</v>
      </c>
      <c r="Y312" s="93">
        <v>0.65</v>
      </c>
      <c r="Z312" s="93">
        <v>0.65</v>
      </c>
      <c r="AA312" s="93">
        <v>0.65</v>
      </c>
      <c r="AB312" s="93">
        <v>0.25</v>
      </c>
      <c r="AC312" s="94">
        <v>0.05</v>
      </c>
    </row>
    <row r="313" spans="1:37" hidden="1">
      <c r="A313" s="1159"/>
      <c r="C313" s="1156"/>
      <c r="D313" s="1165"/>
      <c r="E313" s="101" t="s">
        <v>524</v>
      </c>
      <c r="F313" s="90">
        <v>0.05</v>
      </c>
      <c r="G313" s="90">
        <v>0.05</v>
      </c>
      <c r="H313" s="90">
        <v>0.05</v>
      </c>
      <c r="I313" s="90">
        <v>0.05</v>
      </c>
      <c r="J313" s="90">
        <v>0.05</v>
      </c>
      <c r="K313" s="90">
        <v>0.05</v>
      </c>
      <c r="L313" s="90">
        <v>0.05</v>
      </c>
      <c r="M313" s="90">
        <v>0.3</v>
      </c>
      <c r="N313" s="90">
        <v>0.3</v>
      </c>
      <c r="O313" s="90">
        <v>0.4</v>
      </c>
      <c r="P313" s="90">
        <v>0.4</v>
      </c>
      <c r="Q313" s="90">
        <v>0.4</v>
      </c>
      <c r="R313" s="90">
        <v>0.4</v>
      </c>
      <c r="S313" s="90">
        <v>0.4</v>
      </c>
      <c r="T313" s="90">
        <v>0.4</v>
      </c>
      <c r="U313" s="90">
        <v>0.4</v>
      </c>
      <c r="V313" s="90">
        <v>0.4</v>
      </c>
      <c r="W313" s="90">
        <v>0.4</v>
      </c>
      <c r="X313" s="90">
        <v>0.4</v>
      </c>
      <c r="Y313" s="90">
        <v>0.4</v>
      </c>
      <c r="Z313" s="90">
        <v>0.4</v>
      </c>
      <c r="AA313" s="90">
        <v>0.4</v>
      </c>
      <c r="AB313" s="90">
        <v>0.4</v>
      </c>
      <c r="AC313" s="95">
        <v>0.05</v>
      </c>
    </row>
    <row r="314" spans="1:37" ht="12" hidden="1" thickBot="1">
      <c r="A314" s="1160"/>
      <c r="C314" s="1157"/>
      <c r="D314" s="1191"/>
      <c r="E314" s="102" t="s">
        <v>526</v>
      </c>
      <c r="F314" s="91">
        <v>0.05</v>
      </c>
      <c r="G314" s="91">
        <v>0.05</v>
      </c>
      <c r="H314" s="91">
        <v>0.05</v>
      </c>
      <c r="I314" s="91">
        <v>0.05</v>
      </c>
      <c r="J314" s="91">
        <v>0.05</v>
      </c>
      <c r="K314" s="91">
        <v>0.05</v>
      </c>
      <c r="L314" s="91">
        <v>0.05</v>
      </c>
      <c r="M314" s="91">
        <v>0.3</v>
      </c>
      <c r="N314" s="91">
        <v>0.3</v>
      </c>
      <c r="O314" s="91">
        <v>0.3</v>
      </c>
      <c r="P314" s="91">
        <v>0.3</v>
      </c>
      <c r="Q314" s="91">
        <v>0.3</v>
      </c>
      <c r="R314" s="91">
        <v>0.55000000000000004</v>
      </c>
      <c r="S314" s="91">
        <v>0.55000000000000004</v>
      </c>
      <c r="T314" s="91">
        <v>0.55000000000000004</v>
      </c>
      <c r="U314" s="91">
        <v>0.55000000000000004</v>
      </c>
      <c r="V314" s="91">
        <v>0.55000000000000004</v>
      </c>
      <c r="W314" s="91">
        <v>0.55000000000000004</v>
      </c>
      <c r="X314" s="91">
        <v>0.55000000000000004</v>
      </c>
      <c r="Y314" s="91">
        <v>0.55000000000000004</v>
      </c>
      <c r="Z314" s="91">
        <v>0.55000000000000004</v>
      </c>
      <c r="AA314" s="91">
        <v>0.55000000000000004</v>
      </c>
      <c r="AB314" s="91">
        <v>0.05</v>
      </c>
      <c r="AC314" s="96">
        <v>0.05</v>
      </c>
    </row>
    <row r="315" spans="1:37" hidden="1">
      <c r="A315" s="1158" t="s">
        <v>771</v>
      </c>
      <c r="C315" s="1189" t="s">
        <v>776</v>
      </c>
      <c r="D315" s="1190" t="s">
        <v>774</v>
      </c>
      <c r="E315" s="100" t="s">
        <v>517</v>
      </c>
      <c r="F315" s="93">
        <v>0.05</v>
      </c>
      <c r="G315" s="93">
        <v>0.05</v>
      </c>
      <c r="H315" s="93">
        <v>0.05</v>
      </c>
      <c r="I315" s="93">
        <v>0.05</v>
      </c>
      <c r="J315" s="93">
        <v>0.05</v>
      </c>
      <c r="K315" s="93">
        <v>0.05</v>
      </c>
      <c r="L315" s="93">
        <v>0.4</v>
      </c>
      <c r="M315" s="93">
        <v>0.4</v>
      </c>
      <c r="N315" s="93">
        <v>0.4</v>
      </c>
      <c r="O315" s="93">
        <v>0.75</v>
      </c>
      <c r="P315" s="93">
        <v>0.75</v>
      </c>
      <c r="Q315" s="93">
        <v>0.75</v>
      </c>
      <c r="R315" s="93">
        <v>0.75</v>
      </c>
      <c r="S315" s="93">
        <v>0.75</v>
      </c>
      <c r="T315" s="93">
        <v>0.75</v>
      </c>
      <c r="U315" s="93">
        <v>0.75</v>
      </c>
      <c r="V315" s="93">
        <v>0.75</v>
      </c>
      <c r="W315" s="93">
        <v>0.75</v>
      </c>
      <c r="X315" s="93">
        <v>0.75</v>
      </c>
      <c r="Y315" s="93">
        <v>0.75</v>
      </c>
      <c r="Z315" s="93">
        <v>0.75</v>
      </c>
      <c r="AA315" s="93">
        <v>0.75</v>
      </c>
      <c r="AB315" s="93">
        <v>0.25</v>
      </c>
      <c r="AC315" s="94">
        <v>0.05</v>
      </c>
    </row>
    <row r="316" spans="1:37" hidden="1">
      <c r="A316" s="1159"/>
      <c r="C316" s="1162"/>
      <c r="D316" s="1165"/>
      <c r="E316" s="101" t="s">
        <v>524</v>
      </c>
      <c r="F316" s="90">
        <v>0.05</v>
      </c>
      <c r="G316" s="90">
        <v>0.05</v>
      </c>
      <c r="H316" s="90">
        <v>0.05</v>
      </c>
      <c r="I316" s="90">
        <v>0.05</v>
      </c>
      <c r="J316" s="90">
        <v>0.05</v>
      </c>
      <c r="K316" s="90">
        <v>0.05</v>
      </c>
      <c r="L316" s="90">
        <v>0.05</v>
      </c>
      <c r="M316" s="90">
        <v>0.3</v>
      </c>
      <c r="N316" s="90">
        <v>0.3</v>
      </c>
      <c r="O316" s="90">
        <v>0.5</v>
      </c>
      <c r="P316" s="90">
        <v>0.5</v>
      </c>
      <c r="Q316" s="90">
        <v>0.5</v>
      </c>
      <c r="R316" s="90">
        <v>0.5</v>
      </c>
      <c r="S316" s="90">
        <v>0.5</v>
      </c>
      <c r="T316" s="90">
        <v>0.5</v>
      </c>
      <c r="U316" s="90">
        <v>0.5</v>
      </c>
      <c r="V316" s="90">
        <v>0.5</v>
      </c>
      <c r="W316" s="90">
        <v>0.5</v>
      </c>
      <c r="X316" s="90">
        <v>0.5</v>
      </c>
      <c r="Y316" s="90">
        <v>0.5</v>
      </c>
      <c r="Z316" s="90">
        <v>0.5</v>
      </c>
      <c r="AA316" s="90">
        <v>0.5</v>
      </c>
      <c r="AB316" s="90">
        <v>0.5</v>
      </c>
      <c r="AC316" s="95">
        <v>0.05</v>
      </c>
    </row>
    <row r="317" spans="1:37" ht="12" hidden="1" thickBot="1">
      <c r="A317" s="1168"/>
      <c r="C317" s="1163"/>
      <c r="D317" s="1166"/>
      <c r="E317" s="103" t="s">
        <v>526</v>
      </c>
      <c r="F317" s="98">
        <v>0.05</v>
      </c>
      <c r="G317" s="98">
        <v>0.05</v>
      </c>
      <c r="H317" s="98">
        <v>0.05</v>
      </c>
      <c r="I317" s="98">
        <v>0.05</v>
      </c>
      <c r="J317" s="98">
        <v>0.05</v>
      </c>
      <c r="K317" s="98">
        <v>0.05</v>
      </c>
      <c r="L317" s="98">
        <v>0.05</v>
      </c>
      <c r="M317" s="98">
        <v>0.3</v>
      </c>
      <c r="N317" s="98">
        <v>0.3</v>
      </c>
      <c r="O317" s="98">
        <v>0.3</v>
      </c>
      <c r="P317" s="98">
        <v>0.3</v>
      </c>
      <c r="Q317" s="98">
        <v>0.3</v>
      </c>
      <c r="R317" s="98">
        <v>0.65</v>
      </c>
      <c r="S317" s="98">
        <v>0.65</v>
      </c>
      <c r="T317" s="98">
        <v>0.65</v>
      </c>
      <c r="U317" s="98">
        <v>0.65</v>
      </c>
      <c r="V317" s="98">
        <v>0.65</v>
      </c>
      <c r="W317" s="98">
        <v>0.65</v>
      </c>
      <c r="X317" s="98">
        <v>0.65</v>
      </c>
      <c r="Y317" s="98">
        <v>0.65</v>
      </c>
      <c r="Z317" s="98">
        <v>0.65</v>
      </c>
      <c r="AA317" s="98">
        <v>0.65</v>
      </c>
      <c r="AB317" s="98">
        <v>0.05</v>
      </c>
      <c r="AC317" s="99">
        <v>0.05</v>
      </c>
    </row>
    <row r="318" spans="1:37" hidden="1">
      <c r="A318" s="1167" t="s">
        <v>771</v>
      </c>
      <c r="C318" s="1161" t="s">
        <v>777</v>
      </c>
      <c r="D318" s="1164" t="s">
        <v>774</v>
      </c>
      <c r="E318" s="104" t="s">
        <v>517</v>
      </c>
      <c r="F318" s="92">
        <v>0</v>
      </c>
      <c r="G318" s="92">
        <v>0</v>
      </c>
      <c r="H318" s="92">
        <v>0</v>
      </c>
      <c r="I318" s="92">
        <v>0</v>
      </c>
      <c r="J318" s="92">
        <v>0</v>
      </c>
      <c r="K318" s="92">
        <v>0</v>
      </c>
      <c r="L318" s="92">
        <v>0</v>
      </c>
      <c r="M318" s="92">
        <v>1</v>
      </c>
      <c r="N318" s="92">
        <v>1</v>
      </c>
      <c r="O318" s="92">
        <v>1</v>
      </c>
      <c r="P318" s="92">
        <v>1</v>
      </c>
      <c r="Q318" s="92">
        <v>1</v>
      </c>
      <c r="R318" s="92">
        <v>1</v>
      </c>
      <c r="S318" s="92">
        <v>1</v>
      </c>
      <c r="T318" s="92">
        <v>1</v>
      </c>
      <c r="U318" s="92">
        <v>1</v>
      </c>
      <c r="V318" s="92">
        <v>1</v>
      </c>
      <c r="W318" s="92">
        <v>1</v>
      </c>
      <c r="X318" s="92">
        <v>1</v>
      </c>
      <c r="Y318" s="92">
        <v>1</v>
      </c>
      <c r="Z318" s="92">
        <v>1</v>
      </c>
      <c r="AA318" s="92">
        <v>1</v>
      </c>
      <c r="AB318" s="92">
        <v>1</v>
      </c>
      <c r="AC318" s="97">
        <v>0</v>
      </c>
    </row>
    <row r="319" spans="1:37" hidden="1">
      <c r="A319" s="1159"/>
      <c r="C319" s="1162"/>
      <c r="D319" s="1165"/>
      <c r="E319" s="101" t="s">
        <v>524</v>
      </c>
      <c r="F319" s="90">
        <v>0</v>
      </c>
      <c r="G319" s="90">
        <v>0</v>
      </c>
      <c r="H319" s="90">
        <v>0</v>
      </c>
      <c r="I319" s="90">
        <v>0</v>
      </c>
      <c r="J319" s="90">
        <v>0</v>
      </c>
      <c r="K319" s="90">
        <v>0</v>
      </c>
      <c r="L319" s="90">
        <v>0</v>
      </c>
      <c r="M319" s="90">
        <v>1</v>
      </c>
      <c r="N319" s="90">
        <v>1</v>
      </c>
      <c r="O319" s="90">
        <v>1</v>
      </c>
      <c r="P319" s="90">
        <v>1</v>
      </c>
      <c r="Q319" s="90">
        <v>1</v>
      </c>
      <c r="R319" s="90">
        <v>1</v>
      </c>
      <c r="S319" s="90">
        <v>1</v>
      </c>
      <c r="T319" s="90">
        <v>1</v>
      </c>
      <c r="U319" s="90">
        <v>1</v>
      </c>
      <c r="V319" s="90">
        <v>1</v>
      </c>
      <c r="W319" s="90">
        <v>1</v>
      </c>
      <c r="X319" s="90">
        <v>1</v>
      </c>
      <c r="Y319" s="90">
        <v>1</v>
      </c>
      <c r="Z319" s="90">
        <v>1</v>
      </c>
      <c r="AA319" s="90">
        <v>1</v>
      </c>
      <c r="AB319" s="90">
        <v>1</v>
      </c>
      <c r="AC319" s="95">
        <v>0</v>
      </c>
    </row>
    <row r="320" spans="1:37" ht="12" hidden="1" thickBot="1">
      <c r="A320" s="1168"/>
      <c r="C320" s="1163"/>
      <c r="D320" s="1166"/>
      <c r="E320" s="103" t="s">
        <v>526</v>
      </c>
      <c r="F320" s="98">
        <v>0</v>
      </c>
      <c r="G320" s="98">
        <v>0</v>
      </c>
      <c r="H320" s="98">
        <v>0</v>
      </c>
      <c r="I320" s="98">
        <v>0</v>
      </c>
      <c r="J320" s="98">
        <v>0</v>
      </c>
      <c r="K320" s="98">
        <v>0</v>
      </c>
      <c r="L320" s="98">
        <v>0</v>
      </c>
      <c r="M320" s="98">
        <v>1</v>
      </c>
      <c r="N320" s="98">
        <v>1</v>
      </c>
      <c r="O320" s="98">
        <v>1</v>
      </c>
      <c r="P320" s="98">
        <v>1</v>
      </c>
      <c r="Q320" s="98">
        <v>1</v>
      </c>
      <c r="R320" s="98">
        <v>1</v>
      </c>
      <c r="S320" s="98">
        <v>1</v>
      </c>
      <c r="T320" s="98">
        <v>1</v>
      </c>
      <c r="U320" s="98">
        <v>1</v>
      </c>
      <c r="V320" s="98">
        <v>1</v>
      </c>
      <c r="W320" s="98">
        <v>1</v>
      </c>
      <c r="X320" s="98">
        <v>1</v>
      </c>
      <c r="Y320" s="98">
        <v>1</v>
      </c>
      <c r="Z320" s="98">
        <v>1</v>
      </c>
      <c r="AA320" s="98">
        <v>1</v>
      </c>
      <c r="AB320" s="98">
        <v>1</v>
      </c>
      <c r="AC320" s="99">
        <v>0</v>
      </c>
    </row>
    <row r="321" spans="1:29" hidden="1">
      <c r="A321" s="1167" t="s">
        <v>771</v>
      </c>
      <c r="C321" s="1161" t="s">
        <v>778</v>
      </c>
      <c r="D321" s="1164" t="s">
        <v>774</v>
      </c>
      <c r="E321" s="104" t="s">
        <v>517</v>
      </c>
      <c r="F321" s="92">
        <v>0</v>
      </c>
      <c r="G321" s="92">
        <v>0</v>
      </c>
      <c r="H321" s="92">
        <v>0</v>
      </c>
      <c r="I321" s="92">
        <v>0</v>
      </c>
      <c r="J321" s="92">
        <v>0</v>
      </c>
      <c r="K321" s="92">
        <v>0</v>
      </c>
      <c r="L321" s="92">
        <v>0</v>
      </c>
      <c r="M321" s="92">
        <v>0</v>
      </c>
      <c r="N321" s="92">
        <v>0</v>
      </c>
      <c r="O321" s="92">
        <v>0.05</v>
      </c>
      <c r="P321" s="92">
        <v>0.05</v>
      </c>
      <c r="Q321" s="92">
        <v>0.35</v>
      </c>
      <c r="R321" s="92">
        <v>0.05</v>
      </c>
      <c r="S321" s="92">
        <v>0.05</v>
      </c>
      <c r="T321" s="92">
        <v>0.05</v>
      </c>
      <c r="U321" s="92">
        <v>0.05</v>
      </c>
      <c r="V321" s="92">
        <v>0.05</v>
      </c>
      <c r="W321" s="92">
        <v>0</v>
      </c>
      <c r="X321" s="92">
        <v>0</v>
      </c>
      <c r="Y321" s="92">
        <v>0</v>
      </c>
      <c r="Z321" s="92">
        <v>0</v>
      </c>
      <c r="AA321" s="92">
        <v>0</v>
      </c>
      <c r="AB321" s="92">
        <v>0</v>
      </c>
      <c r="AC321" s="97">
        <v>0</v>
      </c>
    </row>
    <row r="322" spans="1:29" hidden="1">
      <c r="A322" s="1159"/>
      <c r="C322" s="1162"/>
      <c r="D322" s="1165"/>
      <c r="E322" s="101" t="s">
        <v>524</v>
      </c>
      <c r="F322" s="90">
        <v>0</v>
      </c>
      <c r="G322" s="90">
        <v>0</v>
      </c>
      <c r="H322" s="90">
        <v>0</v>
      </c>
      <c r="I322" s="90">
        <v>0</v>
      </c>
      <c r="J322" s="90">
        <v>0</v>
      </c>
      <c r="K322" s="90">
        <v>0</v>
      </c>
      <c r="L322" s="90">
        <v>0</v>
      </c>
      <c r="M322" s="90">
        <v>0</v>
      </c>
      <c r="N322" s="90">
        <v>0</v>
      </c>
      <c r="O322" s="90">
        <v>0.05</v>
      </c>
      <c r="P322" s="90">
        <v>0.05</v>
      </c>
      <c r="Q322" s="90">
        <v>0.2</v>
      </c>
      <c r="R322" s="90">
        <v>0</v>
      </c>
      <c r="S322" s="90">
        <v>0</v>
      </c>
      <c r="T322" s="90">
        <v>0</v>
      </c>
      <c r="U322" s="90">
        <v>0</v>
      </c>
      <c r="V322" s="90">
        <v>0</v>
      </c>
      <c r="W322" s="90">
        <v>0</v>
      </c>
      <c r="X322" s="90">
        <v>0</v>
      </c>
      <c r="Y322" s="90">
        <v>0.65</v>
      </c>
      <c r="Z322" s="90">
        <v>0.3</v>
      </c>
      <c r="AA322" s="90">
        <v>0</v>
      </c>
      <c r="AB322" s="90">
        <v>0</v>
      </c>
      <c r="AC322" s="95">
        <v>0</v>
      </c>
    </row>
    <row r="323" spans="1:29" ht="12" hidden="1" thickBot="1">
      <c r="A323" s="1160"/>
      <c r="C323" s="1192"/>
      <c r="D323" s="1191"/>
      <c r="E323" s="102" t="s">
        <v>526</v>
      </c>
      <c r="F323" s="91">
        <v>0</v>
      </c>
      <c r="G323" s="91">
        <v>0</v>
      </c>
      <c r="H323" s="91">
        <v>0</v>
      </c>
      <c r="I323" s="91">
        <v>0</v>
      </c>
      <c r="J323" s="91">
        <v>0</v>
      </c>
      <c r="K323" s="91">
        <v>0</v>
      </c>
      <c r="L323" s="91">
        <v>0</v>
      </c>
      <c r="M323" s="91">
        <v>0</v>
      </c>
      <c r="N323" s="91">
        <v>0</v>
      </c>
      <c r="O323" s="91">
        <v>0.05</v>
      </c>
      <c r="P323" s="91">
        <v>0.05</v>
      </c>
      <c r="Q323" s="91">
        <v>0.1</v>
      </c>
      <c r="R323" s="91">
        <v>0</v>
      </c>
      <c r="S323" s="91">
        <v>0</v>
      </c>
      <c r="T323" s="91">
        <v>0</v>
      </c>
      <c r="U323" s="91">
        <v>0</v>
      </c>
      <c r="V323" s="91">
        <v>0</v>
      </c>
      <c r="W323" s="91">
        <v>0</v>
      </c>
      <c r="X323" s="91">
        <v>0</v>
      </c>
      <c r="Y323" s="91">
        <v>0.65</v>
      </c>
      <c r="Z323" s="91">
        <v>0.3</v>
      </c>
      <c r="AA323" s="91">
        <v>0</v>
      </c>
      <c r="AB323" s="91">
        <v>0</v>
      </c>
      <c r="AC323" s="96">
        <v>0</v>
      </c>
    </row>
    <row r="324" spans="1:29" hidden="1">
      <c r="A324" s="1158" t="s">
        <v>771</v>
      </c>
      <c r="C324" s="1189" t="s">
        <v>779</v>
      </c>
      <c r="D324" s="1190" t="s">
        <v>774</v>
      </c>
      <c r="E324" s="100" t="s">
        <v>517</v>
      </c>
      <c r="F324" s="93">
        <v>1</v>
      </c>
      <c r="G324" s="93">
        <v>1</v>
      </c>
      <c r="H324" s="93">
        <v>1</v>
      </c>
      <c r="I324" s="93">
        <v>1</v>
      </c>
      <c r="J324" s="93">
        <v>1</v>
      </c>
      <c r="K324" s="93">
        <v>1</v>
      </c>
      <c r="L324" s="93">
        <v>1</v>
      </c>
      <c r="M324" s="93">
        <v>0.25</v>
      </c>
      <c r="N324" s="93">
        <v>0.25</v>
      </c>
      <c r="O324" s="93">
        <v>0.25</v>
      </c>
      <c r="P324" s="93">
        <v>0.25</v>
      </c>
      <c r="Q324" s="93">
        <v>0.25</v>
      </c>
      <c r="R324" s="93">
        <v>0.25</v>
      </c>
      <c r="S324" s="93">
        <v>0.25</v>
      </c>
      <c r="T324" s="93">
        <v>0.25</v>
      </c>
      <c r="U324" s="93">
        <v>0.25</v>
      </c>
      <c r="V324" s="93">
        <v>0.25</v>
      </c>
      <c r="W324" s="93">
        <v>0.25</v>
      </c>
      <c r="X324" s="93">
        <v>0.25</v>
      </c>
      <c r="Y324" s="93">
        <v>0.25</v>
      </c>
      <c r="Z324" s="93">
        <v>0.25</v>
      </c>
      <c r="AA324" s="93">
        <v>0.25</v>
      </c>
      <c r="AB324" s="93">
        <v>0.25</v>
      </c>
      <c r="AC324" s="94">
        <v>1</v>
      </c>
    </row>
    <row r="325" spans="1:29" hidden="1">
      <c r="A325" s="1159"/>
      <c r="C325" s="1162"/>
      <c r="D325" s="1165"/>
      <c r="E325" s="101" t="s">
        <v>524</v>
      </c>
      <c r="F325" s="90">
        <v>1</v>
      </c>
      <c r="G325" s="90">
        <v>1</v>
      </c>
      <c r="H325" s="90">
        <v>1</v>
      </c>
      <c r="I325" s="90">
        <v>1</v>
      </c>
      <c r="J325" s="90">
        <v>1</v>
      </c>
      <c r="K325" s="90">
        <v>1</v>
      </c>
      <c r="L325" s="90">
        <v>1</v>
      </c>
      <c r="M325" s="90">
        <v>0.25</v>
      </c>
      <c r="N325" s="90">
        <v>0.25</v>
      </c>
      <c r="O325" s="90">
        <v>0.25</v>
      </c>
      <c r="P325" s="90">
        <v>0.25</v>
      </c>
      <c r="Q325" s="90">
        <v>0.25</v>
      </c>
      <c r="R325" s="90">
        <v>0.25</v>
      </c>
      <c r="S325" s="90">
        <v>0.25</v>
      </c>
      <c r="T325" s="90">
        <v>0.25</v>
      </c>
      <c r="U325" s="90">
        <v>0.25</v>
      </c>
      <c r="V325" s="90">
        <v>0.25</v>
      </c>
      <c r="W325" s="90">
        <v>0.25</v>
      </c>
      <c r="X325" s="90">
        <v>0.25</v>
      </c>
      <c r="Y325" s="90">
        <v>0.25</v>
      </c>
      <c r="Z325" s="90">
        <v>0.25</v>
      </c>
      <c r="AA325" s="90">
        <v>0.25</v>
      </c>
      <c r="AB325" s="90">
        <v>0.25</v>
      </c>
      <c r="AC325" s="95">
        <v>1</v>
      </c>
    </row>
    <row r="326" spans="1:29" ht="12" hidden="1" thickBot="1">
      <c r="A326" s="1168"/>
      <c r="C326" s="1163"/>
      <c r="D326" s="1166"/>
      <c r="E326" s="103" t="s">
        <v>526</v>
      </c>
      <c r="F326" s="98">
        <v>1</v>
      </c>
      <c r="G326" s="98">
        <v>1</v>
      </c>
      <c r="H326" s="98">
        <v>1</v>
      </c>
      <c r="I326" s="98">
        <v>1</v>
      </c>
      <c r="J326" s="98">
        <v>1</v>
      </c>
      <c r="K326" s="98">
        <v>1</v>
      </c>
      <c r="L326" s="98">
        <v>1</v>
      </c>
      <c r="M326" s="98">
        <v>0.25</v>
      </c>
      <c r="N326" s="98">
        <v>0.25</v>
      </c>
      <c r="O326" s="98">
        <v>0.25</v>
      </c>
      <c r="P326" s="98">
        <v>0.25</v>
      </c>
      <c r="Q326" s="98">
        <v>0.25</v>
      </c>
      <c r="R326" s="98">
        <v>0.25</v>
      </c>
      <c r="S326" s="98">
        <v>0.25</v>
      </c>
      <c r="T326" s="98">
        <v>0.25</v>
      </c>
      <c r="U326" s="98">
        <v>0.25</v>
      </c>
      <c r="V326" s="98">
        <v>0.25</v>
      </c>
      <c r="W326" s="98">
        <v>0.25</v>
      </c>
      <c r="X326" s="98">
        <v>0.25</v>
      </c>
      <c r="Y326" s="98">
        <v>0.25</v>
      </c>
      <c r="Z326" s="98">
        <v>0.25</v>
      </c>
      <c r="AA326" s="98">
        <v>0.25</v>
      </c>
      <c r="AB326" s="98">
        <v>0.25</v>
      </c>
      <c r="AC326" s="99">
        <v>1</v>
      </c>
    </row>
    <row r="327" spans="1:29" hidden="1">
      <c r="A327" s="1167" t="s">
        <v>771</v>
      </c>
      <c r="C327" s="1161" t="s">
        <v>780</v>
      </c>
      <c r="D327" s="1164" t="s">
        <v>774</v>
      </c>
      <c r="E327" s="104" t="s">
        <v>517</v>
      </c>
      <c r="F327" s="92">
        <v>0</v>
      </c>
      <c r="G327" s="92">
        <v>0</v>
      </c>
      <c r="H327" s="92">
        <v>0</v>
      </c>
      <c r="I327" s="92">
        <v>0</v>
      </c>
      <c r="J327" s="92">
        <v>0</v>
      </c>
      <c r="K327" s="92">
        <v>0</v>
      </c>
      <c r="L327" s="92">
        <v>0</v>
      </c>
      <c r="M327" s="92">
        <v>0</v>
      </c>
      <c r="N327" s="92">
        <v>0.3</v>
      </c>
      <c r="O327" s="92">
        <v>0.3</v>
      </c>
      <c r="P327" s="92">
        <v>0.2</v>
      </c>
      <c r="Q327" s="92">
        <v>0.9</v>
      </c>
      <c r="R327" s="92">
        <v>0.9</v>
      </c>
      <c r="S327" s="92">
        <v>0.9</v>
      </c>
      <c r="T327" s="92">
        <v>0.2</v>
      </c>
      <c r="U327" s="92">
        <v>0.2</v>
      </c>
      <c r="V327" s="92">
        <v>0.2</v>
      </c>
      <c r="W327" s="92">
        <v>0.5</v>
      </c>
      <c r="X327" s="92">
        <v>0.5</v>
      </c>
      <c r="Y327" s="92">
        <v>0.1</v>
      </c>
      <c r="Z327" s="92">
        <v>0.1</v>
      </c>
      <c r="AA327" s="92">
        <v>0.1</v>
      </c>
      <c r="AB327" s="92">
        <v>0</v>
      </c>
      <c r="AC327" s="97">
        <v>0</v>
      </c>
    </row>
    <row r="328" spans="1:29" hidden="1">
      <c r="A328" s="1159"/>
      <c r="C328" s="1162"/>
      <c r="D328" s="1165"/>
      <c r="E328" s="101" t="s">
        <v>524</v>
      </c>
      <c r="F328" s="90">
        <v>0</v>
      </c>
      <c r="G328" s="90">
        <v>0</v>
      </c>
      <c r="H328" s="90">
        <v>0</v>
      </c>
      <c r="I328" s="90">
        <v>0</v>
      </c>
      <c r="J328" s="90">
        <v>0</v>
      </c>
      <c r="K328" s="90">
        <v>0</v>
      </c>
      <c r="L328" s="90">
        <v>0</v>
      </c>
      <c r="M328" s="90">
        <v>0</v>
      </c>
      <c r="N328" s="90">
        <v>0.3</v>
      </c>
      <c r="O328" s="90">
        <v>0.3</v>
      </c>
      <c r="P328" s="90">
        <v>0.2</v>
      </c>
      <c r="Q328" s="90">
        <v>0.7</v>
      </c>
      <c r="R328" s="90">
        <v>0.7</v>
      </c>
      <c r="S328" s="90">
        <v>0.7</v>
      </c>
      <c r="T328" s="90">
        <v>0.2</v>
      </c>
      <c r="U328" s="90">
        <v>0.2</v>
      </c>
      <c r="V328" s="90">
        <v>0.2</v>
      </c>
      <c r="W328" s="90">
        <v>0.4</v>
      </c>
      <c r="X328" s="90">
        <v>0.4</v>
      </c>
      <c r="Y328" s="90">
        <v>0.1</v>
      </c>
      <c r="Z328" s="90">
        <v>0.1</v>
      </c>
      <c r="AA328" s="90">
        <v>0.1</v>
      </c>
      <c r="AB328" s="90">
        <v>0</v>
      </c>
      <c r="AC328" s="95">
        <v>0</v>
      </c>
    </row>
    <row r="329" spans="1:29" ht="12" hidden="1" thickBot="1">
      <c r="A329" s="1168"/>
      <c r="C329" s="1163"/>
      <c r="D329" s="1166"/>
      <c r="E329" s="103" t="s">
        <v>526</v>
      </c>
      <c r="F329" s="98">
        <v>0</v>
      </c>
      <c r="G329" s="98">
        <v>0</v>
      </c>
      <c r="H329" s="98">
        <v>0</v>
      </c>
      <c r="I329" s="98">
        <v>0</v>
      </c>
      <c r="J329" s="98">
        <v>0</v>
      </c>
      <c r="K329" s="98">
        <v>0</v>
      </c>
      <c r="L329" s="98">
        <v>0</v>
      </c>
      <c r="M329" s="98">
        <v>0</v>
      </c>
      <c r="N329" s="98">
        <v>0.2</v>
      </c>
      <c r="O329" s="98">
        <v>0.2</v>
      </c>
      <c r="P329" s="98">
        <v>0.1</v>
      </c>
      <c r="Q329" s="98">
        <v>0.1</v>
      </c>
      <c r="R329" s="98">
        <v>0.3</v>
      </c>
      <c r="S329" s="98">
        <v>0.8</v>
      </c>
      <c r="T329" s="98">
        <v>0.2</v>
      </c>
      <c r="U329" s="98">
        <v>0.2</v>
      </c>
      <c r="V329" s="98">
        <v>0.2</v>
      </c>
      <c r="W329" s="98">
        <v>0.5</v>
      </c>
      <c r="X329" s="98">
        <v>0.5</v>
      </c>
      <c r="Y329" s="98">
        <v>0.1</v>
      </c>
      <c r="Z329" s="98">
        <v>0.1</v>
      </c>
      <c r="AA329" s="98">
        <v>0.1</v>
      </c>
      <c r="AB329" s="98">
        <v>0</v>
      </c>
      <c r="AC329" s="99">
        <v>0</v>
      </c>
    </row>
    <row r="330" spans="1:29" hidden="1"/>
    <row r="331" spans="1:29" ht="13.15" hidden="1">
      <c r="A331" s="1142" t="s">
        <v>701</v>
      </c>
      <c r="C331" s="1142" t="s">
        <v>702</v>
      </c>
      <c r="D331" s="1142" t="s">
        <v>233</v>
      </c>
      <c r="E331" s="1142" t="s">
        <v>703</v>
      </c>
      <c r="F331" s="1186" t="s">
        <v>704</v>
      </c>
      <c r="G331" s="1186"/>
      <c r="H331" s="1186"/>
      <c r="I331" s="1186"/>
      <c r="J331" s="1186"/>
      <c r="K331" s="1186"/>
      <c r="L331" s="1186"/>
      <c r="M331" s="1186"/>
      <c r="N331" s="1186"/>
      <c r="O331" s="1186"/>
      <c r="P331" s="1186"/>
      <c r="Q331" s="1186"/>
      <c r="R331" s="1186"/>
      <c r="S331" s="1186"/>
      <c r="T331" s="1186"/>
      <c r="U331" s="1186"/>
      <c r="V331" s="1186"/>
      <c r="W331" s="1186"/>
      <c r="X331" s="1186"/>
      <c r="Y331" s="1186"/>
      <c r="Z331" s="1186"/>
      <c r="AA331" s="1186"/>
      <c r="AB331" s="1186"/>
      <c r="AC331" s="1186"/>
    </row>
    <row r="332" spans="1:29" ht="13.9" hidden="1" thickBot="1">
      <c r="A332" s="1143"/>
      <c r="C332" s="1143"/>
      <c r="D332" s="1143"/>
      <c r="E332" s="1143"/>
      <c r="F332" s="816">
        <v>1</v>
      </c>
      <c r="G332" s="816">
        <v>2</v>
      </c>
      <c r="H332" s="816">
        <v>3</v>
      </c>
      <c r="I332" s="816">
        <v>4</v>
      </c>
      <c r="J332" s="816">
        <v>5</v>
      </c>
      <c r="K332" s="816">
        <v>6</v>
      </c>
      <c r="L332" s="816">
        <v>7</v>
      </c>
      <c r="M332" s="816">
        <v>8</v>
      </c>
      <c r="N332" s="816">
        <v>9</v>
      </c>
      <c r="O332" s="816">
        <v>10</v>
      </c>
      <c r="P332" s="816">
        <v>11</v>
      </c>
      <c r="Q332" s="816">
        <v>12</v>
      </c>
      <c r="R332" s="816">
        <v>13</v>
      </c>
      <c r="S332" s="816">
        <v>14</v>
      </c>
      <c r="T332" s="816">
        <v>15</v>
      </c>
      <c r="U332" s="816">
        <v>16</v>
      </c>
      <c r="V332" s="816">
        <v>17</v>
      </c>
      <c r="W332" s="816">
        <v>18</v>
      </c>
      <c r="X332" s="816">
        <v>19</v>
      </c>
      <c r="Y332" s="816">
        <v>20</v>
      </c>
      <c r="Z332" s="816">
        <v>21</v>
      </c>
      <c r="AA332" s="816">
        <v>22</v>
      </c>
      <c r="AB332" s="816">
        <v>23</v>
      </c>
      <c r="AC332" s="816">
        <v>24</v>
      </c>
    </row>
    <row r="333" spans="1:29" hidden="1">
      <c r="A333" s="1158" t="s">
        <v>771</v>
      </c>
      <c r="C333" s="1155" t="s">
        <v>669</v>
      </c>
      <c r="D333" s="1190" t="s">
        <v>772</v>
      </c>
      <c r="E333" s="100" t="s">
        <v>517</v>
      </c>
      <c r="F333" s="93">
        <v>0.12</v>
      </c>
      <c r="G333" s="93">
        <v>0.12</v>
      </c>
      <c r="H333" s="93">
        <v>0.12</v>
      </c>
      <c r="I333" s="93">
        <v>0.12</v>
      </c>
      <c r="J333" s="93">
        <v>0.12</v>
      </c>
      <c r="K333" s="93">
        <v>0.2</v>
      </c>
      <c r="L333" s="93">
        <v>0.4</v>
      </c>
      <c r="M333" s="93">
        <v>0.5</v>
      </c>
      <c r="N333" s="93">
        <v>0.5</v>
      </c>
      <c r="O333" s="93">
        <v>0.35</v>
      </c>
      <c r="P333" s="93">
        <v>0.15</v>
      </c>
      <c r="Q333" s="93">
        <v>0.15</v>
      </c>
      <c r="R333" s="93">
        <v>0.15</v>
      </c>
      <c r="S333" s="93">
        <v>0.15</v>
      </c>
      <c r="T333" s="93">
        <v>0.15</v>
      </c>
      <c r="U333" s="93">
        <v>0.15</v>
      </c>
      <c r="V333" s="93">
        <v>0.35</v>
      </c>
      <c r="W333" s="93">
        <v>0.5</v>
      </c>
      <c r="X333" s="93">
        <v>0.5</v>
      </c>
      <c r="Y333" s="93">
        <v>0.4</v>
      </c>
      <c r="Z333" s="93">
        <v>0.4</v>
      </c>
      <c r="AA333" s="93">
        <v>0.3</v>
      </c>
      <c r="AB333" s="93">
        <v>0.2</v>
      </c>
      <c r="AC333" s="94">
        <v>0.12</v>
      </c>
    </row>
    <row r="334" spans="1:29" hidden="1">
      <c r="A334" s="1159"/>
      <c r="C334" s="1156"/>
      <c r="D334" s="1165"/>
      <c r="E334" s="101" t="s">
        <v>524</v>
      </c>
      <c r="F334" s="90">
        <v>0.12</v>
      </c>
      <c r="G334" s="90">
        <v>0.12</v>
      </c>
      <c r="H334" s="90">
        <v>0.12</v>
      </c>
      <c r="I334" s="90">
        <v>0.12</v>
      </c>
      <c r="J334" s="90">
        <v>0.12</v>
      </c>
      <c r="K334" s="90">
        <v>0.2</v>
      </c>
      <c r="L334" s="90">
        <v>0.4</v>
      </c>
      <c r="M334" s="90">
        <v>0.5</v>
      </c>
      <c r="N334" s="90">
        <v>0.5</v>
      </c>
      <c r="O334" s="90">
        <v>0.35</v>
      </c>
      <c r="P334" s="90">
        <v>0.15</v>
      </c>
      <c r="Q334" s="90">
        <v>0.15</v>
      </c>
      <c r="R334" s="90">
        <v>0.15</v>
      </c>
      <c r="S334" s="90">
        <v>0.15</v>
      </c>
      <c r="T334" s="90">
        <v>0.15</v>
      </c>
      <c r="U334" s="90">
        <v>0.15</v>
      </c>
      <c r="V334" s="90">
        <v>0.35</v>
      </c>
      <c r="W334" s="90">
        <v>0.5</v>
      </c>
      <c r="X334" s="90">
        <v>0.5</v>
      </c>
      <c r="Y334" s="90">
        <v>0.4</v>
      </c>
      <c r="Z334" s="90">
        <v>0.4</v>
      </c>
      <c r="AA334" s="90">
        <v>0.3</v>
      </c>
      <c r="AB334" s="90">
        <v>0.2</v>
      </c>
      <c r="AC334" s="95">
        <v>0.12</v>
      </c>
    </row>
    <row r="335" spans="1:29" ht="12" hidden="1" thickBot="1">
      <c r="A335" s="1160"/>
      <c r="C335" s="1157"/>
      <c r="D335" s="1191"/>
      <c r="E335" s="102" t="s">
        <v>526</v>
      </c>
      <c r="F335" s="91">
        <v>0.12</v>
      </c>
      <c r="G335" s="91">
        <v>0.12</v>
      </c>
      <c r="H335" s="91">
        <v>0.12</v>
      </c>
      <c r="I335" s="91">
        <v>0.12</v>
      </c>
      <c r="J335" s="91">
        <v>0.12</v>
      </c>
      <c r="K335" s="91">
        <v>0.2</v>
      </c>
      <c r="L335" s="91">
        <v>0.4</v>
      </c>
      <c r="M335" s="91">
        <v>0.5</v>
      </c>
      <c r="N335" s="91">
        <v>0.5</v>
      </c>
      <c r="O335" s="91">
        <v>0.35</v>
      </c>
      <c r="P335" s="91">
        <v>0.15</v>
      </c>
      <c r="Q335" s="91">
        <v>0.15</v>
      </c>
      <c r="R335" s="91">
        <v>0.15</v>
      </c>
      <c r="S335" s="91">
        <v>0.15</v>
      </c>
      <c r="T335" s="91">
        <v>0.15</v>
      </c>
      <c r="U335" s="91">
        <v>0.15</v>
      </c>
      <c r="V335" s="91">
        <v>0.35</v>
      </c>
      <c r="W335" s="91">
        <v>0.5</v>
      </c>
      <c r="X335" s="91">
        <v>0.5</v>
      </c>
      <c r="Y335" s="91">
        <v>0.4</v>
      </c>
      <c r="Z335" s="91">
        <v>0.4</v>
      </c>
      <c r="AA335" s="91">
        <v>0.3</v>
      </c>
      <c r="AB335" s="91">
        <v>0.2</v>
      </c>
      <c r="AC335" s="96">
        <v>0.12</v>
      </c>
    </row>
    <row r="336" spans="1:29" hidden="1">
      <c r="A336" s="1015" t="s">
        <v>368</v>
      </c>
      <c r="C336" s="1009" t="s">
        <v>781</v>
      </c>
      <c r="D336" s="1012" t="s">
        <v>774</v>
      </c>
      <c r="E336" s="105" t="s">
        <v>517</v>
      </c>
      <c r="F336" s="80">
        <v>0.9</v>
      </c>
      <c r="G336" s="80">
        <v>0.9</v>
      </c>
      <c r="H336" s="80">
        <v>0.9</v>
      </c>
      <c r="I336" s="80">
        <v>0.9</v>
      </c>
      <c r="J336" s="80">
        <v>0.9</v>
      </c>
      <c r="K336" s="80">
        <v>0.9</v>
      </c>
      <c r="L336" s="80">
        <v>0.7</v>
      </c>
      <c r="M336" s="80">
        <v>0.4</v>
      </c>
      <c r="N336" s="80">
        <v>0.4</v>
      </c>
      <c r="O336" s="80">
        <v>0.2</v>
      </c>
      <c r="P336" s="80">
        <v>0.2</v>
      </c>
      <c r="Q336" s="80">
        <v>0.2</v>
      </c>
      <c r="R336" s="80">
        <v>0.2</v>
      </c>
      <c r="S336" s="80">
        <v>0.2</v>
      </c>
      <c r="T336" s="80">
        <v>0.2</v>
      </c>
      <c r="U336" s="80">
        <v>0.3</v>
      </c>
      <c r="V336" s="80">
        <v>0.5</v>
      </c>
      <c r="W336" s="80">
        <v>0.5</v>
      </c>
      <c r="X336" s="80">
        <v>0.5</v>
      </c>
      <c r="Y336" s="80">
        <v>0.7</v>
      </c>
      <c r="Z336" s="80">
        <v>0.7</v>
      </c>
      <c r="AA336" s="80">
        <v>0.8</v>
      </c>
      <c r="AB336" s="80">
        <v>0.9</v>
      </c>
      <c r="AC336" s="83">
        <v>0.9</v>
      </c>
    </row>
    <row r="337" spans="1:39" hidden="1">
      <c r="A337" s="1016"/>
      <c r="C337" s="1193"/>
      <c r="D337" s="1013"/>
      <c r="E337" s="106" t="s">
        <v>524</v>
      </c>
      <c r="F337" s="81">
        <v>0.9</v>
      </c>
      <c r="G337" s="81">
        <v>0.9</v>
      </c>
      <c r="H337" s="81">
        <v>0.9</v>
      </c>
      <c r="I337" s="81">
        <v>0.9</v>
      </c>
      <c r="J337" s="81">
        <v>0.9</v>
      </c>
      <c r="K337" s="81">
        <v>0.9</v>
      </c>
      <c r="L337" s="81">
        <v>0.7</v>
      </c>
      <c r="M337" s="81">
        <v>0.4</v>
      </c>
      <c r="N337" s="81">
        <v>0.4</v>
      </c>
      <c r="O337" s="81">
        <v>0.2</v>
      </c>
      <c r="P337" s="81">
        <v>0.2</v>
      </c>
      <c r="Q337" s="81">
        <v>0.2</v>
      </c>
      <c r="R337" s="81">
        <v>0.2</v>
      </c>
      <c r="S337" s="81">
        <v>0.2</v>
      </c>
      <c r="T337" s="81">
        <v>0.2</v>
      </c>
      <c r="U337" s="81">
        <v>0.3</v>
      </c>
      <c r="V337" s="81">
        <v>0.5</v>
      </c>
      <c r="W337" s="81">
        <v>0.5</v>
      </c>
      <c r="X337" s="81">
        <v>0.5</v>
      </c>
      <c r="Y337" s="81">
        <v>0.7</v>
      </c>
      <c r="Z337" s="81">
        <v>0.7</v>
      </c>
      <c r="AA337" s="81">
        <v>0.8</v>
      </c>
      <c r="AB337" s="81">
        <v>0.9</v>
      </c>
      <c r="AC337" s="84">
        <v>0.9</v>
      </c>
    </row>
    <row r="338" spans="1:39" ht="12" hidden="1" thickBot="1">
      <c r="A338" s="1017"/>
      <c r="C338" s="1194"/>
      <c r="D338" s="1014"/>
      <c r="E338" s="107" t="s">
        <v>526</v>
      </c>
      <c r="F338" s="82">
        <v>0.9</v>
      </c>
      <c r="G338" s="82">
        <v>0.9</v>
      </c>
      <c r="H338" s="82">
        <v>0.9</v>
      </c>
      <c r="I338" s="82">
        <v>0.9</v>
      </c>
      <c r="J338" s="82">
        <v>0.9</v>
      </c>
      <c r="K338" s="82">
        <v>0.9</v>
      </c>
      <c r="L338" s="82">
        <v>0.7</v>
      </c>
      <c r="M338" s="82">
        <v>0.4</v>
      </c>
      <c r="N338" s="82">
        <v>0.4</v>
      </c>
      <c r="O338" s="82">
        <v>0.2</v>
      </c>
      <c r="P338" s="82">
        <v>0.2</v>
      </c>
      <c r="Q338" s="82">
        <v>0.2</v>
      </c>
      <c r="R338" s="82">
        <v>0.2</v>
      </c>
      <c r="S338" s="82">
        <v>0.2</v>
      </c>
      <c r="T338" s="82">
        <v>0.2</v>
      </c>
      <c r="U338" s="82">
        <v>0.3</v>
      </c>
      <c r="V338" s="82">
        <v>0.5</v>
      </c>
      <c r="W338" s="82">
        <v>0.5</v>
      </c>
      <c r="X338" s="82">
        <v>0.5</v>
      </c>
      <c r="Y338" s="82">
        <v>0.7</v>
      </c>
      <c r="Z338" s="82">
        <v>0.7</v>
      </c>
      <c r="AA338" s="82">
        <v>0.8</v>
      </c>
      <c r="AB338" s="82">
        <v>0.9</v>
      </c>
      <c r="AC338" s="85">
        <v>0.9</v>
      </c>
    </row>
    <row r="339" spans="1:39" hidden="1">
      <c r="A339" s="1015" t="s">
        <v>368</v>
      </c>
      <c r="C339" s="1009" t="s">
        <v>782</v>
      </c>
      <c r="D339" s="1012" t="s">
        <v>774</v>
      </c>
      <c r="E339" s="105" t="s">
        <v>517</v>
      </c>
      <c r="F339" s="80">
        <v>0.1</v>
      </c>
      <c r="G339" s="80">
        <v>0.1</v>
      </c>
      <c r="H339" s="80">
        <v>0.1</v>
      </c>
      <c r="I339" s="80">
        <v>0.1</v>
      </c>
      <c r="J339" s="80">
        <v>0.1</v>
      </c>
      <c r="K339" s="80">
        <v>0.3</v>
      </c>
      <c r="L339" s="80">
        <v>0.45</v>
      </c>
      <c r="M339" s="80">
        <v>0.45</v>
      </c>
      <c r="N339" s="80">
        <v>0.45</v>
      </c>
      <c r="O339" s="80">
        <v>0.45</v>
      </c>
      <c r="P339" s="80">
        <v>0.3</v>
      </c>
      <c r="Q339" s="80">
        <v>0.3</v>
      </c>
      <c r="R339" s="80">
        <v>0.3</v>
      </c>
      <c r="S339" s="80">
        <v>0.3</v>
      </c>
      <c r="T339" s="80">
        <v>0.3</v>
      </c>
      <c r="U339" s="80">
        <v>0.3</v>
      </c>
      <c r="V339" s="80">
        <v>0.3</v>
      </c>
      <c r="W339" s="80">
        <v>0.3</v>
      </c>
      <c r="X339" s="80">
        <v>0.6</v>
      </c>
      <c r="Y339" s="80">
        <v>0.8</v>
      </c>
      <c r="Z339" s="80">
        <v>0.9</v>
      </c>
      <c r="AA339" s="80">
        <v>0.8</v>
      </c>
      <c r="AB339" s="80">
        <v>0.6</v>
      </c>
      <c r="AC339" s="83">
        <v>0.3</v>
      </c>
    </row>
    <row r="340" spans="1:39" hidden="1">
      <c r="A340" s="1016"/>
      <c r="C340" s="1010"/>
      <c r="D340" s="1013"/>
      <c r="E340" s="106" t="s">
        <v>524</v>
      </c>
      <c r="F340" s="81">
        <v>0.1</v>
      </c>
      <c r="G340" s="81">
        <v>0.1</v>
      </c>
      <c r="H340" s="81">
        <v>0.1</v>
      </c>
      <c r="I340" s="81">
        <v>0.1</v>
      </c>
      <c r="J340" s="81">
        <v>0.1</v>
      </c>
      <c r="K340" s="81">
        <v>0.3</v>
      </c>
      <c r="L340" s="81">
        <v>0.45</v>
      </c>
      <c r="M340" s="81">
        <v>0.45</v>
      </c>
      <c r="N340" s="81">
        <v>0.45</v>
      </c>
      <c r="O340" s="81">
        <v>0.45</v>
      </c>
      <c r="P340" s="81">
        <v>0.3</v>
      </c>
      <c r="Q340" s="81">
        <v>0.3</v>
      </c>
      <c r="R340" s="81">
        <v>0.3</v>
      </c>
      <c r="S340" s="81">
        <v>0.3</v>
      </c>
      <c r="T340" s="81">
        <v>0.3</v>
      </c>
      <c r="U340" s="81">
        <v>0.3</v>
      </c>
      <c r="V340" s="81">
        <v>0.3</v>
      </c>
      <c r="W340" s="81">
        <v>0.3</v>
      </c>
      <c r="X340" s="81">
        <v>0.6</v>
      </c>
      <c r="Y340" s="81">
        <v>0.8</v>
      </c>
      <c r="Z340" s="81">
        <v>0.9</v>
      </c>
      <c r="AA340" s="81">
        <v>0.8</v>
      </c>
      <c r="AB340" s="81">
        <v>0.6</v>
      </c>
      <c r="AC340" s="84">
        <v>0.3</v>
      </c>
    </row>
    <row r="341" spans="1:39" ht="12" hidden="1" thickBot="1">
      <c r="A341" s="1017"/>
      <c r="C341" s="1011"/>
      <c r="D341" s="1014"/>
      <c r="E341" s="107" t="s">
        <v>526</v>
      </c>
      <c r="F341" s="82">
        <v>0.1</v>
      </c>
      <c r="G341" s="82">
        <v>0.1</v>
      </c>
      <c r="H341" s="82">
        <v>0.1</v>
      </c>
      <c r="I341" s="82">
        <v>0.1</v>
      </c>
      <c r="J341" s="82">
        <v>0.1</v>
      </c>
      <c r="K341" s="82">
        <v>0.3</v>
      </c>
      <c r="L341" s="82">
        <v>0.45</v>
      </c>
      <c r="M341" s="82">
        <v>0.45</v>
      </c>
      <c r="N341" s="82">
        <v>0.45</v>
      </c>
      <c r="O341" s="82">
        <v>0.45</v>
      </c>
      <c r="P341" s="82">
        <v>0.3</v>
      </c>
      <c r="Q341" s="82">
        <v>0.3</v>
      </c>
      <c r="R341" s="82">
        <v>0.3</v>
      </c>
      <c r="S341" s="82">
        <v>0.3</v>
      </c>
      <c r="T341" s="82">
        <v>0.3</v>
      </c>
      <c r="U341" s="82">
        <v>0.3</v>
      </c>
      <c r="V341" s="82">
        <v>0.3</v>
      </c>
      <c r="W341" s="82">
        <v>0.3</v>
      </c>
      <c r="X341" s="82">
        <v>0.6</v>
      </c>
      <c r="Y341" s="82">
        <v>0.8</v>
      </c>
      <c r="Z341" s="82">
        <v>0.9</v>
      </c>
      <c r="AA341" s="82">
        <v>0.8</v>
      </c>
      <c r="AB341" s="82">
        <v>0.6</v>
      </c>
      <c r="AC341" s="85">
        <v>0.3</v>
      </c>
    </row>
    <row r="342" spans="1:39" hidden="1"/>
    <row r="343" spans="1:39" hidden="1"/>
    <row r="344" spans="1:39" hidden="1"/>
    <row r="345" spans="1:39" hidden="1"/>
    <row r="346" spans="1:39" hidden="1"/>
    <row r="347" spans="1:39" ht="12" hidden="1" thickBot="1"/>
    <row r="348" spans="1:39" ht="25.15" hidden="1" customHeight="1">
      <c r="A348" s="1139" t="s">
        <v>132</v>
      </c>
      <c r="B348" s="1101" t="s">
        <v>783</v>
      </c>
      <c r="C348" s="1182" t="s">
        <v>706</v>
      </c>
      <c r="D348" s="1151" t="s">
        <v>784</v>
      </c>
      <c r="E348" s="715" t="s">
        <v>517</v>
      </c>
      <c r="F348" s="716">
        <f>Data!$Q$85*F271+Data!$Q$86*F271+Data!$Q$87*F256+Data!$Q$88*F286</f>
        <v>0.27</v>
      </c>
      <c r="G348" s="716">
        <f>Data!$Q$85*G271+Data!$Q$86*G271+Data!$Q$87*G256+Data!$Q$88*G286</f>
        <v>0.27</v>
      </c>
      <c r="H348" s="716">
        <f>Data!$Q$85*H271+Data!$Q$86*H271+Data!$Q$87*H256+Data!$Q$88*H286</f>
        <v>0.27</v>
      </c>
      <c r="I348" s="716">
        <f>Data!$Q$85*I271+Data!$Q$86*I271+Data!$Q$87*I256+Data!$Q$88*I286</f>
        <v>0.27</v>
      </c>
      <c r="J348" s="716">
        <f>Data!$Q$85*J271+Data!$Q$86*J271+Data!$Q$87*J256+Data!$Q$88*J286</f>
        <v>0.27</v>
      </c>
      <c r="K348" s="716">
        <f>Data!$Q$85*K271+Data!$Q$86*K271+Data!$Q$87*K256+Data!$Q$88*K286</f>
        <v>0.27</v>
      </c>
      <c r="L348" s="716">
        <f>Data!$Q$85*L271+Data!$Q$86*L271+Data!$Q$87*L256+Data!$Q$88*L286</f>
        <v>0.26500000000000001</v>
      </c>
      <c r="M348" s="716">
        <f>Data!$Q$85*M271+Data!$Q$86*M271+Data!$Q$87*M256+Data!$Q$88*M286</f>
        <v>0.22999999999999998</v>
      </c>
      <c r="N348" s="716">
        <f>Data!$Q$85*N271+Data!$Q$86*N271+Data!$Q$87*N256+Data!$Q$88*N286</f>
        <v>0.67249999999999999</v>
      </c>
      <c r="O348" s="716">
        <f>Data!$Q$85*O271+Data!$Q$86*O271+Data!$Q$87*O256+Data!$Q$88*O286</f>
        <v>0.61250000000000004</v>
      </c>
      <c r="P348" s="716">
        <f>Data!$Q$85*P271+Data!$Q$86*P271+Data!$Q$87*P256+Data!$Q$88*P286</f>
        <v>0.61250000000000004</v>
      </c>
      <c r="Q348" s="716">
        <f>Data!$Q$85*Q271+Data!$Q$86*Q271+Data!$Q$87*Q256+Data!$Q$88*Q286</f>
        <v>0.70250000000000001</v>
      </c>
      <c r="R348" s="716">
        <f>Data!$Q$85*R271+Data!$Q$86*R271+Data!$Q$87*R256+Data!$Q$88*R286</f>
        <v>0.45500000000000002</v>
      </c>
      <c r="S348" s="716">
        <f>Data!$Q$85*S271+Data!$Q$86*S271+Data!$Q$87*S256+Data!$Q$88*S286</f>
        <v>0.70250000000000001</v>
      </c>
      <c r="T348" s="716">
        <f>Data!$Q$85*T271+Data!$Q$86*T271+Data!$Q$87*T256+Data!$Q$88*T286</f>
        <v>0.70250000000000001</v>
      </c>
      <c r="U348" s="716">
        <f>Data!$Q$85*U271+Data!$Q$86*U271+Data!$Q$87*U256+Data!$Q$88*U286</f>
        <v>0.73249999999999993</v>
      </c>
      <c r="V348" s="716">
        <f>Data!$Q$85*V271+Data!$Q$86*V271+Data!$Q$87*V256+Data!$Q$88*V286</f>
        <v>0.79249999999999998</v>
      </c>
      <c r="W348" s="716">
        <f>Data!$Q$85*W271+Data!$Q$86*W271+Data!$Q$87*W256+Data!$Q$88*W286</f>
        <v>0.43499999999999994</v>
      </c>
      <c r="X348" s="716">
        <f>Data!$Q$85*X271+Data!$Q$86*X271+Data!$Q$87*X256+Data!$Q$88*X286</f>
        <v>0.23499999999999999</v>
      </c>
      <c r="Y348" s="716">
        <f>Data!$Q$85*Y271+Data!$Q$86*Y271+Data!$Q$87*Y256+Data!$Q$88*Y286</f>
        <v>0.29500000000000004</v>
      </c>
      <c r="Z348" s="716">
        <f>Data!$Q$85*Z271+Data!$Q$86*Z271+Data!$Q$87*Z256+Data!$Q$88*Z286</f>
        <v>0.29500000000000004</v>
      </c>
      <c r="AA348" s="716">
        <f>Data!$Q$85*AA271+Data!$Q$86*AA271+Data!$Q$87*AA256+Data!$Q$88*AA286</f>
        <v>0.32499999999999996</v>
      </c>
      <c r="AB348" s="716">
        <f>Data!$Q$85*AB271+Data!$Q$86*AB271+Data!$Q$87*AB256+Data!$Q$88*AB286</f>
        <v>0.31250000000000006</v>
      </c>
      <c r="AC348" s="717">
        <f>Data!$Q$85*AC271+Data!$Q$86*AC271+Data!$Q$87*AC256+Data!$Q$88*AC286</f>
        <v>0.29750000000000004</v>
      </c>
      <c r="AD348" s="41"/>
      <c r="AE348" s="41"/>
      <c r="AF348" s="41"/>
      <c r="AG348" s="41"/>
      <c r="AH348" s="41"/>
      <c r="AI348" s="41"/>
      <c r="AJ348" s="41"/>
      <c r="AK348" s="41"/>
    </row>
    <row r="349" spans="1:39" ht="25.15" hidden="1" customHeight="1">
      <c r="A349" s="1140"/>
      <c r="B349" s="1090"/>
      <c r="C349" s="1061"/>
      <c r="D349" s="1007"/>
      <c r="E349" s="718" t="s">
        <v>524</v>
      </c>
      <c r="F349" s="713">
        <f>Data!$Q$85*F272+Data!$Q$86*F272+Data!$Q$87*F257+Data!$Q$88*F287</f>
        <v>0.27</v>
      </c>
      <c r="G349" s="713">
        <f>Data!$Q$85*G272+Data!$Q$86*G272+Data!$Q$87*G257+Data!$Q$88*G287</f>
        <v>0.27</v>
      </c>
      <c r="H349" s="713">
        <f>Data!$Q$85*H272+Data!$Q$86*H272+Data!$Q$87*H257+Data!$Q$88*H287</f>
        <v>0.27</v>
      </c>
      <c r="I349" s="713">
        <f>Data!$Q$85*I272+Data!$Q$86*I272+Data!$Q$87*I257+Data!$Q$88*I287</f>
        <v>0.27</v>
      </c>
      <c r="J349" s="713">
        <f>Data!$Q$85*J272+Data!$Q$86*J272+Data!$Q$87*J257+Data!$Q$88*J287</f>
        <v>0.27</v>
      </c>
      <c r="K349" s="713">
        <f>Data!$Q$85*K272+Data!$Q$86*K272+Data!$Q$87*K257+Data!$Q$88*K287</f>
        <v>0.27</v>
      </c>
      <c r="L349" s="713">
        <f>Data!$Q$85*L272+Data!$Q$86*L272+Data!$Q$87*L257+Data!$Q$88*L287</f>
        <v>0.23749999999999999</v>
      </c>
      <c r="M349" s="713">
        <f>Data!$Q$85*M272+Data!$Q$86*M272+Data!$Q$87*M257+Data!$Q$88*M287</f>
        <v>0.17749999999999999</v>
      </c>
      <c r="N349" s="713">
        <f>Data!$Q$85*N272+Data!$Q$86*N272+Data!$Q$87*N257+Data!$Q$88*N287</f>
        <v>0.20749999999999999</v>
      </c>
      <c r="O349" s="713">
        <f>Data!$Q$85*O272+Data!$Q$86*O272+Data!$Q$87*O257+Data!$Q$88*O287</f>
        <v>0.14749999999999999</v>
      </c>
      <c r="P349" s="713">
        <f>Data!$Q$85*P272+Data!$Q$86*P272+Data!$Q$87*P257+Data!$Q$88*P287</f>
        <v>0.14749999999999999</v>
      </c>
      <c r="Q349" s="713">
        <f>Data!$Q$85*Q272+Data!$Q$86*Q272+Data!$Q$87*Q257+Data!$Q$88*Q287</f>
        <v>0.20749999999999999</v>
      </c>
      <c r="R349" s="713">
        <f>Data!$Q$85*R272+Data!$Q$86*R272+Data!$Q$87*R257+Data!$Q$88*R287</f>
        <v>0.20749999999999999</v>
      </c>
      <c r="S349" s="713">
        <f>Data!$Q$85*S272+Data!$Q$86*S272+Data!$Q$87*S257+Data!$Q$88*S287</f>
        <v>0.20749999999999999</v>
      </c>
      <c r="T349" s="713">
        <f>Data!$Q$85*T272+Data!$Q$86*T272+Data!$Q$87*T257+Data!$Q$88*T287</f>
        <v>0.20749999999999999</v>
      </c>
      <c r="U349" s="713">
        <f>Data!$Q$85*U272+Data!$Q$86*U272+Data!$Q$87*U257+Data!$Q$88*U287</f>
        <v>0.20749999999999999</v>
      </c>
      <c r="V349" s="713">
        <f>Data!$Q$85*V272+Data!$Q$86*V272+Data!$Q$87*V257+Data!$Q$88*V287</f>
        <v>0.20749999999999999</v>
      </c>
      <c r="W349" s="713">
        <f>Data!$Q$85*W272+Data!$Q$86*W272+Data!$Q$87*W257+Data!$Q$88*W287</f>
        <v>0.26749999999999996</v>
      </c>
      <c r="X349" s="713">
        <f>Data!$Q$85*X272+Data!$Q$86*X272+Data!$Q$87*X257+Data!$Q$88*X287</f>
        <v>0.27</v>
      </c>
      <c r="Y349" s="713">
        <f>Data!$Q$85*Y272+Data!$Q$86*Y272+Data!$Q$87*Y257+Data!$Q$88*Y287</f>
        <v>0.27</v>
      </c>
      <c r="Z349" s="713">
        <f>Data!$Q$85*Z272+Data!$Q$86*Z272+Data!$Q$87*Z257+Data!$Q$88*Z287</f>
        <v>0.27</v>
      </c>
      <c r="AA349" s="713">
        <f>Data!$Q$85*AA272+Data!$Q$86*AA272+Data!$Q$87*AA257+Data!$Q$88*AA287</f>
        <v>0.32999999999999996</v>
      </c>
      <c r="AB349" s="713">
        <f>Data!$Q$85*AB272+Data!$Q$86*AB272+Data!$Q$87*AB257+Data!$Q$88*AB287</f>
        <v>0.22499999999999998</v>
      </c>
      <c r="AC349" s="719">
        <f>Data!$Q$85*AC272+Data!$Q$86*AC272+Data!$Q$87*AC257+Data!$Q$88*AC287</f>
        <v>0.21</v>
      </c>
      <c r="AD349" s="41"/>
      <c r="AE349" s="41"/>
      <c r="AF349" s="41"/>
      <c r="AG349" s="41"/>
      <c r="AH349" s="41"/>
      <c r="AI349" s="41"/>
      <c r="AJ349" s="41"/>
      <c r="AK349" s="41"/>
    </row>
    <row r="350" spans="1:39" ht="25.15" hidden="1" customHeight="1" thickBot="1">
      <c r="A350" s="1141"/>
      <c r="B350" s="1100"/>
      <c r="C350" s="1062"/>
      <c r="D350" s="1152"/>
      <c r="E350" s="729" t="s">
        <v>526</v>
      </c>
      <c r="F350" s="723">
        <f>Data!$Q$85*F273+Data!$Q$86*F273+Data!$Q$87*F258+Data!$Q$88*F288</f>
        <v>0.21</v>
      </c>
      <c r="G350" s="723">
        <f>Data!$Q$85*G273+Data!$Q$86*G273+Data!$Q$87*G258+Data!$Q$88*G288</f>
        <v>0.21</v>
      </c>
      <c r="H350" s="723">
        <f>Data!$Q$85*H273+Data!$Q$86*H273+Data!$Q$87*H258+Data!$Q$88*H288</f>
        <v>0.21</v>
      </c>
      <c r="I350" s="723">
        <f>Data!$Q$85*I273+Data!$Q$86*I273+Data!$Q$87*I258+Data!$Q$88*I288</f>
        <v>0.21</v>
      </c>
      <c r="J350" s="723">
        <f>Data!$Q$85*J273+Data!$Q$86*J273+Data!$Q$87*J258+Data!$Q$88*J288</f>
        <v>0.21</v>
      </c>
      <c r="K350" s="723">
        <f>Data!$Q$85*K273+Data!$Q$86*K273+Data!$Q$87*K258+Data!$Q$88*K288</f>
        <v>0.21</v>
      </c>
      <c r="L350" s="723">
        <f>Data!$Q$85*L273+Data!$Q$86*L273+Data!$Q$87*L258+Data!$Q$88*L288</f>
        <v>0.23749999999999999</v>
      </c>
      <c r="M350" s="723">
        <f>Data!$Q$85*M273+Data!$Q$86*M273+Data!$Q$87*M258+Data!$Q$88*M288</f>
        <v>0.23749999999999999</v>
      </c>
      <c r="N350" s="723">
        <f>Data!$Q$85*N273+Data!$Q$86*N273+Data!$Q$87*N258+Data!$Q$88*N288</f>
        <v>0.1925</v>
      </c>
      <c r="O350" s="723">
        <f>Data!$Q$85*O273+Data!$Q$86*O273+Data!$Q$87*O258+Data!$Q$88*O288</f>
        <v>0.1925</v>
      </c>
      <c r="P350" s="723">
        <f>Data!$Q$85*P273+Data!$Q$86*P273+Data!$Q$87*P258+Data!$Q$88*P288</f>
        <v>0.1925</v>
      </c>
      <c r="Q350" s="723">
        <f>Data!$Q$85*Q273+Data!$Q$86*Q273+Data!$Q$87*Q258+Data!$Q$88*Q288</f>
        <v>0.13250000000000001</v>
      </c>
      <c r="R350" s="723">
        <f>Data!$Q$85*R273+Data!$Q$86*R273+Data!$Q$87*R258+Data!$Q$88*R288</f>
        <v>0.13250000000000001</v>
      </c>
      <c r="S350" s="723">
        <f>Data!$Q$85*S273+Data!$Q$86*S273+Data!$Q$87*S258+Data!$Q$88*S288</f>
        <v>0.1925</v>
      </c>
      <c r="T350" s="723">
        <f>Data!$Q$85*T273+Data!$Q$86*T273+Data!$Q$87*T258+Data!$Q$88*T288</f>
        <v>0.1925</v>
      </c>
      <c r="U350" s="723">
        <f>Data!$Q$85*U273+Data!$Q$86*U273+Data!$Q$87*U258+Data!$Q$88*U288</f>
        <v>0.1925</v>
      </c>
      <c r="V350" s="723">
        <f>Data!$Q$85*V273+Data!$Q$86*V273+Data!$Q$87*V258+Data!$Q$88*V288</f>
        <v>0.22249999999999998</v>
      </c>
      <c r="W350" s="723">
        <f>Data!$Q$85*W273+Data!$Q$86*W273+Data!$Q$87*W258+Data!$Q$88*W288</f>
        <v>0.2525</v>
      </c>
      <c r="X350" s="723">
        <f>Data!$Q$85*X273+Data!$Q$86*X273+Data!$Q$87*X258+Data!$Q$88*X288</f>
        <v>0.22499999999999998</v>
      </c>
      <c r="Y350" s="723">
        <f>Data!$Q$85*Y273+Data!$Q$86*Y273+Data!$Q$87*Y258+Data!$Q$88*Y288</f>
        <v>0.28499999999999998</v>
      </c>
      <c r="Z350" s="723">
        <f>Data!$Q$85*Z273+Data!$Q$86*Z273+Data!$Q$87*Z258+Data!$Q$88*Z288</f>
        <v>0.28499999999999998</v>
      </c>
      <c r="AA350" s="723">
        <f>Data!$Q$85*AA273+Data!$Q$86*AA273+Data!$Q$87*AA258+Data!$Q$88*AA288</f>
        <v>0.34499999999999997</v>
      </c>
      <c r="AB350" s="723">
        <f>Data!$Q$85*AB273+Data!$Q$86*AB273+Data!$Q$87*AB258+Data!$Q$88*AB288</f>
        <v>0.27</v>
      </c>
      <c r="AC350" s="730">
        <f>Data!$Q$85*AC273+Data!$Q$86*AC273+Data!$Q$87*AC258+Data!$Q$88*AC288</f>
        <v>0.24</v>
      </c>
      <c r="AD350" s="41"/>
      <c r="AE350" s="41"/>
      <c r="AF350" s="41"/>
      <c r="AG350" s="41"/>
      <c r="AH350" s="41"/>
      <c r="AI350" s="41"/>
      <c r="AJ350" s="41"/>
      <c r="AK350" s="41"/>
    </row>
    <row r="351" spans="1:39" ht="38.65" hidden="1" customHeight="1">
      <c r="A351" s="1139" t="s">
        <v>132</v>
      </c>
      <c r="B351" s="1099" t="s">
        <v>783</v>
      </c>
      <c r="C351" s="1060" t="s">
        <v>708</v>
      </c>
      <c r="D351" s="1169" t="s">
        <v>784</v>
      </c>
      <c r="E351" s="715" t="s">
        <v>517</v>
      </c>
      <c r="F351" s="716">
        <f>Data!$Q$85*F274+Data!$Q$86*F274+Data!$Q$87*F259+Data!$Q$88*F289</f>
        <v>9.5000000000000001E-2</v>
      </c>
      <c r="G351" s="716">
        <f>Data!$Q$85*G274+Data!$Q$86*G274+Data!$Q$87*G259+Data!$Q$88*G289</f>
        <v>7.9999999999999988E-2</v>
      </c>
      <c r="H351" s="716">
        <f>Data!$Q$85*H274+Data!$Q$86*H274+Data!$Q$87*H259+Data!$Q$88*H289</f>
        <v>6.5000000000000002E-2</v>
      </c>
      <c r="I351" s="716">
        <f>Data!$Q$85*I274+Data!$Q$86*I274+Data!$Q$87*I259+Data!$Q$88*I289</f>
        <v>6.5000000000000002E-2</v>
      </c>
      <c r="J351" s="716">
        <f>Data!$Q$85*J274+Data!$Q$86*J274+Data!$Q$87*J259+Data!$Q$88*J289</f>
        <v>6.5000000000000002E-2</v>
      </c>
      <c r="K351" s="716">
        <f>Data!$Q$85*K274+Data!$Q$86*K274+Data!$Q$87*K259+Data!$Q$88*K289</f>
        <v>0.1225</v>
      </c>
      <c r="L351" s="716">
        <f>Data!$Q$85*L274+Data!$Q$86*L274+Data!$Q$87*L259+Data!$Q$88*L289</f>
        <v>0.22749999999999998</v>
      </c>
      <c r="M351" s="716">
        <f>Data!$Q$85*M274+Data!$Q$86*M274+Data!$Q$87*M259+Data!$Q$88*M289</f>
        <v>0.36749999999999994</v>
      </c>
      <c r="N351" s="716">
        <f>Data!$Q$85*N274+Data!$Q$86*N274+Data!$Q$87*N259+Data!$Q$88*N289</f>
        <v>0.53</v>
      </c>
      <c r="O351" s="716">
        <f>Data!$Q$85*O274+Data!$Q$86*O274+Data!$Q$87*O259+Data!$Q$88*O289</f>
        <v>0.57499999999999996</v>
      </c>
      <c r="P351" s="716">
        <f>Data!$Q$85*P274+Data!$Q$86*P274+Data!$Q$87*P259+Data!$Q$88*P289</f>
        <v>0.53</v>
      </c>
      <c r="Q351" s="716">
        <f>Data!$Q$85*Q274+Data!$Q$86*Q274+Data!$Q$87*Q259+Data!$Q$88*Q289</f>
        <v>0.53</v>
      </c>
      <c r="R351" s="716">
        <f>Data!$Q$85*R274+Data!$Q$86*R274+Data!$Q$87*R259+Data!$Q$88*R289</f>
        <v>0.53</v>
      </c>
      <c r="S351" s="716">
        <f>Data!$Q$85*S274+Data!$Q$86*S274+Data!$Q$87*S259+Data!$Q$88*S289</f>
        <v>0.53</v>
      </c>
      <c r="T351" s="716">
        <f>Data!$Q$85*T274+Data!$Q$86*T274+Data!$Q$87*T259+Data!$Q$88*T289</f>
        <v>0.53</v>
      </c>
      <c r="U351" s="716">
        <f>Data!$Q$85*U274+Data!$Q$86*U274+Data!$Q$87*U259+Data!$Q$88*U289</f>
        <v>0.53</v>
      </c>
      <c r="V351" s="716">
        <f>Data!$Q$85*V274+Data!$Q$86*V274+Data!$Q$87*V259+Data!$Q$88*V289</f>
        <v>0.53</v>
      </c>
      <c r="W351" s="716">
        <f>Data!$Q$85*W274+Data!$Q$86*W274+Data!$Q$87*W259+Data!$Q$88*W289</f>
        <v>0.36499999999999999</v>
      </c>
      <c r="X351" s="716">
        <f>Data!$Q$85*X274+Data!$Q$86*X274+Data!$Q$87*X259+Data!$Q$88*X289</f>
        <v>0.4425</v>
      </c>
      <c r="Y351" s="716">
        <f>Data!$Q$85*Y274+Data!$Q$86*Y274+Data!$Q$87*Y259+Data!$Q$88*Y289</f>
        <v>0.50249999999999995</v>
      </c>
      <c r="Z351" s="716">
        <f>Data!$Q$85*Z274+Data!$Q$86*Z274+Data!$Q$87*Z259+Data!$Q$88*Z289</f>
        <v>0.47750000000000004</v>
      </c>
      <c r="AA351" s="716">
        <f>Data!$Q$85*AA274+Data!$Q$86*AA274+Data!$Q$87*AA259+Data!$Q$88*AA289</f>
        <v>0.44750000000000001</v>
      </c>
      <c r="AB351" s="716">
        <f>Data!$Q$85*AB274+Data!$Q$86*AB274+Data!$Q$87*AB259+Data!$Q$88*AB289</f>
        <v>0.27249999999999996</v>
      </c>
      <c r="AC351" s="717">
        <f>Data!$Q$85*AC274+Data!$Q$86*AC274+Data!$Q$87*AC259+Data!$Q$88*AC289</f>
        <v>0.125</v>
      </c>
      <c r="AD351" s="41"/>
      <c r="AE351" s="41"/>
      <c r="AF351" s="41"/>
      <c r="AG351" s="41"/>
      <c r="AH351" s="41"/>
      <c r="AI351" s="41"/>
      <c r="AJ351" s="41"/>
      <c r="AK351" s="41"/>
      <c r="AM351" s="52"/>
    </row>
    <row r="352" spans="1:39" ht="38.65" hidden="1" customHeight="1">
      <c r="A352" s="1140"/>
      <c r="B352" s="1090"/>
      <c r="C352" s="1061"/>
      <c r="D352" s="1170"/>
      <c r="E352" s="718" t="s">
        <v>524</v>
      </c>
      <c r="F352" s="713">
        <f>Data!$Q$85*F275+Data!$Q$86*F275+Data!$Q$87*F260+Data!$Q$88*F290</f>
        <v>9.5000000000000001E-2</v>
      </c>
      <c r="G352" s="713">
        <f>Data!$Q$85*G275+Data!$Q$86*G275+Data!$Q$87*G260+Data!$Q$88*G290</f>
        <v>9.5000000000000001E-2</v>
      </c>
      <c r="H352" s="713">
        <f>Data!$Q$85*H275+Data!$Q$86*H275+Data!$Q$87*H260+Data!$Q$88*H290</f>
        <v>6.5000000000000002E-2</v>
      </c>
      <c r="I352" s="713">
        <f>Data!$Q$85*I275+Data!$Q$86*I275+Data!$Q$87*I260+Data!$Q$88*I290</f>
        <v>6.5000000000000002E-2</v>
      </c>
      <c r="J352" s="713">
        <f>Data!$Q$85*J275+Data!$Q$86*J275+Data!$Q$87*J260+Data!$Q$88*J290</f>
        <v>6.5000000000000002E-2</v>
      </c>
      <c r="K352" s="713">
        <f>Data!$Q$85*K275+Data!$Q$86*K275+Data!$Q$87*K260+Data!$Q$88*K290</f>
        <v>6.5000000000000002E-2</v>
      </c>
      <c r="L352" s="713">
        <f>Data!$Q$85*L275+Data!$Q$86*L275+Data!$Q$87*L260+Data!$Q$88*L290</f>
        <v>0.1525</v>
      </c>
      <c r="M352" s="713">
        <f>Data!$Q$85*M275+Data!$Q$86*M275+Data!$Q$87*M260+Data!$Q$88*M290</f>
        <v>0.19</v>
      </c>
      <c r="N352" s="713">
        <f>Data!$Q$85*N275+Data!$Q$86*N275+Data!$Q$87*N260+Data!$Q$88*N290</f>
        <v>0.32999999999999996</v>
      </c>
      <c r="O352" s="713">
        <f>Data!$Q$85*O275+Data!$Q$86*O275+Data!$Q$87*O260+Data!$Q$88*O290</f>
        <v>0.34499999999999997</v>
      </c>
      <c r="P352" s="713">
        <f>Data!$Q$85*P275+Data!$Q$86*P275+Data!$Q$87*P260+Data!$Q$88*P290</f>
        <v>0.315</v>
      </c>
      <c r="Q352" s="713">
        <f>Data!$Q$85*Q275+Data!$Q$86*Q275+Data!$Q$87*Q260+Data!$Q$88*Q290</f>
        <v>0.3</v>
      </c>
      <c r="R352" s="713">
        <f>Data!$Q$85*R275+Data!$Q$86*R275+Data!$Q$87*R260+Data!$Q$88*R290</f>
        <v>0.21749999999999997</v>
      </c>
      <c r="S352" s="713">
        <f>Data!$Q$85*S275+Data!$Q$86*S275+Data!$Q$87*S260+Data!$Q$88*S290</f>
        <v>0.21749999999999997</v>
      </c>
      <c r="T352" s="713">
        <f>Data!$Q$85*T275+Data!$Q$86*T275+Data!$Q$87*T260+Data!$Q$88*T290</f>
        <v>0.21749999999999997</v>
      </c>
      <c r="U352" s="713">
        <f>Data!$Q$85*U275+Data!$Q$86*U275+Data!$Q$87*U260+Data!$Q$88*U290</f>
        <v>0.21749999999999997</v>
      </c>
      <c r="V352" s="713">
        <f>Data!$Q$85*V275+Data!$Q$86*V275+Data!$Q$87*V260+Data!$Q$88*V290</f>
        <v>0.21749999999999997</v>
      </c>
      <c r="W352" s="713">
        <f>Data!$Q$85*W275+Data!$Q$86*W275+Data!$Q$87*W260+Data!$Q$88*W290</f>
        <v>0.16249999999999998</v>
      </c>
      <c r="X352" s="713">
        <f>Data!$Q$85*X275+Data!$Q$86*X275+Data!$Q$87*X260+Data!$Q$88*X290</f>
        <v>0.26749999999999996</v>
      </c>
      <c r="Y352" s="713">
        <f>Data!$Q$85*Y275+Data!$Q$86*Y275+Data!$Q$87*Y260+Data!$Q$88*Y290</f>
        <v>0.29749999999999999</v>
      </c>
      <c r="Z352" s="713">
        <f>Data!$Q$85*Z275+Data!$Q$86*Z275+Data!$Q$87*Z260+Data!$Q$88*Z290</f>
        <v>0.29749999999999999</v>
      </c>
      <c r="AA352" s="713">
        <f>Data!$Q$85*AA275+Data!$Q$86*AA275+Data!$Q$87*AA260+Data!$Q$88*AA290</f>
        <v>0.29749999999999999</v>
      </c>
      <c r="AB352" s="713">
        <f>Data!$Q$85*AB275+Data!$Q$86*AB275+Data!$Q$87*AB260+Data!$Q$88*AB290</f>
        <v>0.26749999999999996</v>
      </c>
      <c r="AC352" s="719">
        <f>Data!$Q$85*AC275+Data!$Q$86*AC275+Data!$Q$87*AC260+Data!$Q$88*AC290</f>
        <v>0.125</v>
      </c>
      <c r="AD352" s="41"/>
      <c r="AE352" s="41"/>
      <c r="AF352" s="41"/>
      <c r="AG352" s="41"/>
      <c r="AH352" s="41"/>
      <c r="AI352" s="41"/>
      <c r="AJ352" s="41"/>
      <c r="AK352" s="41"/>
      <c r="AM352" s="52"/>
    </row>
    <row r="353" spans="1:39" ht="38.65" hidden="1" customHeight="1" thickBot="1">
      <c r="A353" s="1141"/>
      <c r="B353" s="1100"/>
      <c r="C353" s="1062"/>
      <c r="D353" s="1171"/>
      <c r="E353" s="720" t="s">
        <v>526</v>
      </c>
      <c r="F353" s="721">
        <f>Data!$Q$85*F276+Data!$Q$86*F276+Data!$Q$87*F261+Data!$Q$88*F291</f>
        <v>0.125</v>
      </c>
      <c r="G353" s="721">
        <f>Data!$Q$85*G276+Data!$Q$86*G276+Data!$Q$87*G261+Data!$Q$88*G291</f>
        <v>0.125</v>
      </c>
      <c r="H353" s="721">
        <f>Data!$Q$85*H276+Data!$Q$86*H276+Data!$Q$87*H261+Data!$Q$88*H291</f>
        <v>9.5000000000000001E-2</v>
      </c>
      <c r="I353" s="721">
        <f>Data!$Q$85*I276+Data!$Q$86*I276+Data!$Q$87*I261+Data!$Q$88*I291</f>
        <v>9.5000000000000001E-2</v>
      </c>
      <c r="J353" s="721">
        <f>Data!$Q$85*J276+Data!$Q$86*J276+Data!$Q$87*J261+Data!$Q$88*J291</f>
        <v>9.5000000000000001E-2</v>
      </c>
      <c r="K353" s="721">
        <f>Data!$Q$85*K276+Data!$Q$86*K276+Data!$Q$87*K261+Data!$Q$88*K291</f>
        <v>9.5000000000000001E-2</v>
      </c>
      <c r="L353" s="721">
        <f>Data!$Q$85*L276+Data!$Q$86*L276+Data!$Q$87*L261+Data!$Q$88*L291</f>
        <v>0.125</v>
      </c>
      <c r="M353" s="721">
        <f>Data!$Q$85*M276+Data!$Q$86*M276+Data!$Q$87*M261+Data!$Q$88*M291</f>
        <v>0.1925</v>
      </c>
      <c r="N353" s="721">
        <f>Data!$Q$85*N276+Data!$Q$86*N276+Data!$Q$87*N261+Data!$Q$88*N291</f>
        <v>0.1925</v>
      </c>
      <c r="O353" s="721">
        <f>Data!$Q$85*O276+Data!$Q$86*O276+Data!$Q$87*O261+Data!$Q$88*O291</f>
        <v>0.16249999999999998</v>
      </c>
      <c r="P353" s="721">
        <f>Data!$Q$85*P276+Data!$Q$86*P276+Data!$Q$87*P261+Data!$Q$88*P291</f>
        <v>0.16249999999999998</v>
      </c>
      <c r="Q353" s="721">
        <f>Data!$Q$85*Q276+Data!$Q$86*Q276+Data!$Q$87*Q261+Data!$Q$88*Q291</f>
        <v>0.16249999999999998</v>
      </c>
      <c r="R353" s="721">
        <f>Data!$Q$85*R276+Data!$Q$86*R276+Data!$Q$87*R261+Data!$Q$88*R291</f>
        <v>0.2</v>
      </c>
      <c r="S353" s="721">
        <f>Data!$Q$85*S276+Data!$Q$86*S276+Data!$Q$87*S261+Data!$Q$88*S291</f>
        <v>0.16999999999999998</v>
      </c>
      <c r="T353" s="721">
        <f>Data!$Q$85*T276+Data!$Q$86*T276+Data!$Q$87*T261+Data!$Q$88*T291</f>
        <v>0.16999999999999998</v>
      </c>
      <c r="U353" s="721">
        <f>Data!$Q$85*U276+Data!$Q$86*U276+Data!$Q$87*U261+Data!$Q$88*U291</f>
        <v>0.16999999999999998</v>
      </c>
      <c r="V353" s="721">
        <f>Data!$Q$85*V276+Data!$Q$86*V276+Data!$Q$87*V261+Data!$Q$88*V291</f>
        <v>0.16999999999999998</v>
      </c>
      <c r="W353" s="721">
        <f>Data!$Q$85*W276+Data!$Q$86*W276+Data!$Q$87*W261+Data!$Q$88*W291</f>
        <v>0.16999999999999998</v>
      </c>
      <c r="X353" s="721">
        <f>Data!$Q$85*X276+Data!$Q$86*X276+Data!$Q$87*X261+Data!$Q$88*X291</f>
        <v>0.26</v>
      </c>
      <c r="Y353" s="721">
        <f>Data!$Q$85*Y276+Data!$Q$86*Y276+Data!$Q$87*Y261+Data!$Q$88*Y291</f>
        <v>0.32</v>
      </c>
      <c r="Z353" s="721">
        <f>Data!$Q$85*Z276+Data!$Q$86*Z276+Data!$Q$87*Z261+Data!$Q$88*Z291</f>
        <v>0.35000000000000003</v>
      </c>
      <c r="AA353" s="721">
        <f>Data!$Q$85*AA276+Data!$Q$86*AA276+Data!$Q$87*AA261+Data!$Q$88*AA291</f>
        <v>0.28999999999999998</v>
      </c>
      <c r="AB353" s="721">
        <f>Data!$Q$85*AB276+Data!$Q$86*AB276+Data!$Q$87*AB261+Data!$Q$88*AB291</f>
        <v>0.185</v>
      </c>
      <c r="AC353" s="722">
        <f>Data!$Q$85*AC276+Data!$Q$86*AC276+Data!$Q$87*AC261+Data!$Q$88*AC291</f>
        <v>0.125</v>
      </c>
      <c r="AD353" s="41"/>
      <c r="AE353" s="41"/>
      <c r="AF353" s="41"/>
      <c r="AG353" s="41"/>
      <c r="AH353" s="41"/>
      <c r="AI353" s="41"/>
      <c r="AJ353" s="41"/>
      <c r="AK353" s="41"/>
      <c r="AM353" s="52"/>
    </row>
    <row r="354" spans="1:39" ht="38.65" hidden="1" customHeight="1">
      <c r="A354" s="1139" t="s">
        <v>132</v>
      </c>
      <c r="B354" s="1099" t="s">
        <v>783</v>
      </c>
      <c r="C354" s="1065" t="s">
        <v>710</v>
      </c>
      <c r="D354" s="1173" t="s">
        <v>774</v>
      </c>
      <c r="E354" s="727" t="s">
        <v>517</v>
      </c>
      <c r="F354" s="714">
        <f>Data!$Q$85*F277+Data!$Q$86*F277+Data!$Q$87*F262+Data!$Q$88*F292</f>
        <v>0.34500000000000003</v>
      </c>
      <c r="G354" s="714">
        <f>Data!$Q$85*G277+Data!$Q$86*G277+Data!$Q$87*G262+Data!$Q$88*G292</f>
        <v>0.33</v>
      </c>
      <c r="H354" s="714">
        <f>Data!$Q$85*H277+Data!$Q$86*H277+Data!$Q$87*H262+Data!$Q$88*H292</f>
        <v>0.315</v>
      </c>
      <c r="I354" s="714">
        <f>Data!$Q$85*I277+Data!$Q$86*I277+Data!$Q$87*I262+Data!$Q$88*I292</f>
        <v>0.315</v>
      </c>
      <c r="J354" s="714">
        <f>Data!$Q$85*J277+Data!$Q$86*J277+Data!$Q$87*J262+Data!$Q$88*J292</f>
        <v>0.315</v>
      </c>
      <c r="K354" s="714">
        <f>Data!$Q$85*K277+Data!$Q$86*K277+Data!$Q$87*K262+Data!$Q$88*K292</f>
        <v>0.34500000000000003</v>
      </c>
      <c r="L354" s="714">
        <f>Data!$Q$85*L277+Data!$Q$86*L277+Data!$Q$87*L262+Data!$Q$88*L292</f>
        <v>0.45749999999999996</v>
      </c>
      <c r="M354" s="714">
        <f>Data!$Q$85*M277+Data!$Q$86*M277+Data!$Q$87*M262+Data!$Q$88*M292</f>
        <v>0.64700000000000002</v>
      </c>
      <c r="N354" s="714">
        <f>Data!$Q$85*N277+Data!$Q$86*N277+Data!$Q$87*N262+Data!$Q$88*N292</f>
        <v>0.68850000000000011</v>
      </c>
      <c r="O354" s="714">
        <f>Data!$Q$85*O277+Data!$Q$86*O277+Data!$Q$87*O262+Data!$Q$88*O292</f>
        <v>0.75750000000000006</v>
      </c>
      <c r="P354" s="714">
        <f>Data!$Q$85*P277+Data!$Q$86*P277+Data!$Q$87*P262+Data!$Q$88*P292</f>
        <v>0.71249999999999991</v>
      </c>
      <c r="Q354" s="714">
        <f>Data!$Q$85*Q277+Data!$Q$86*Q277+Data!$Q$87*Q262+Data!$Q$88*Q292</f>
        <v>0.71249999999999991</v>
      </c>
      <c r="R354" s="714">
        <f>Data!$Q$85*R277+Data!$Q$86*R277+Data!$Q$87*R262+Data!$Q$88*R292</f>
        <v>0.71249999999999991</v>
      </c>
      <c r="S354" s="714">
        <f>Data!$Q$85*S277+Data!$Q$86*S277+Data!$Q$87*S262+Data!$Q$88*S292</f>
        <v>0.71249999999999991</v>
      </c>
      <c r="T354" s="714">
        <f>Data!$Q$85*T277+Data!$Q$86*T277+Data!$Q$87*T262+Data!$Q$88*T292</f>
        <v>0.71249999999999991</v>
      </c>
      <c r="U354" s="714">
        <f>Data!$Q$85*U277+Data!$Q$86*U277+Data!$Q$87*U262+Data!$Q$88*U292</f>
        <v>0.71249999999999991</v>
      </c>
      <c r="V354" s="714">
        <f>Data!$Q$85*V277+Data!$Q$86*V277+Data!$Q$87*V262+Data!$Q$88*V292</f>
        <v>0.71249999999999991</v>
      </c>
      <c r="W354" s="714">
        <f>Data!$Q$85*W277+Data!$Q$86*W277+Data!$Q$87*W262+Data!$Q$88*W292</f>
        <v>0.60249999999999992</v>
      </c>
      <c r="X354" s="714">
        <f>Data!$Q$85*X277+Data!$Q$86*X277+Data!$Q$87*X262+Data!$Q$88*X292</f>
        <v>0.59749999999999992</v>
      </c>
      <c r="Y354" s="714">
        <f>Data!$Q$85*Y277+Data!$Q$86*Y277+Data!$Q$87*Y262+Data!$Q$88*Y292</f>
        <v>0.65749999999999997</v>
      </c>
      <c r="Z354" s="714">
        <f>Data!$Q$85*Z277+Data!$Q$86*Z277+Data!$Q$87*Z262+Data!$Q$88*Z292</f>
        <v>0.6725000000000001</v>
      </c>
      <c r="AA354" s="714">
        <f>Data!$Q$85*AA277+Data!$Q$86*AA277+Data!$Q$87*AA262+Data!$Q$88*AA292</f>
        <v>0.63000000000000012</v>
      </c>
      <c r="AB354" s="714">
        <f>Data!$Q$85*AB277+Data!$Q$86*AB277+Data!$Q$87*AB262+Data!$Q$88*AB292</f>
        <v>0.495</v>
      </c>
      <c r="AC354" s="728">
        <f>Data!$Q$85*AC277+Data!$Q$86*AC277+Data!$Q$87*AC262+Data!$Q$88*AC292</f>
        <v>0.375</v>
      </c>
      <c r="AD354" s="41"/>
      <c r="AE354" s="41"/>
      <c r="AF354" s="41"/>
      <c r="AG354" s="41"/>
      <c r="AH354" s="41"/>
      <c r="AI354" s="41"/>
      <c r="AJ354" s="41"/>
      <c r="AK354" s="41"/>
      <c r="AM354" s="52"/>
    </row>
    <row r="355" spans="1:39" ht="38.65" hidden="1" customHeight="1">
      <c r="A355" s="1140"/>
      <c r="B355" s="1090"/>
      <c r="C355" s="1066"/>
      <c r="D355" s="1174"/>
      <c r="E355" s="718" t="s">
        <v>524</v>
      </c>
      <c r="F355" s="713">
        <f>Data!$Q$85*F278+Data!$Q$86*F278+Data!$Q$87*F263+Data!$Q$88*F293</f>
        <v>0.33400000000000002</v>
      </c>
      <c r="G355" s="713">
        <f>Data!$Q$85*G278+Data!$Q$86*G278+Data!$Q$87*G263+Data!$Q$88*G293</f>
        <v>0.33400000000000002</v>
      </c>
      <c r="H355" s="713">
        <f>Data!$Q$85*H278+Data!$Q$86*H278+Data!$Q$87*H263+Data!$Q$88*H293</f>
        <v>0.30399999999999999</v>
      </c>
      <c r="I355" s="713">
        <f>Data!$Q$85*I278+Data!$Q$86*I278+Data!$Q$87*I263+Data!$Q$88*I293</f>
        <v>0.30399999999999999</v>
      </c>
      <c r="J355" s="713">
        <f>Data!$Q$85*J278+Data!$Q$86*J278+Data!$Q$87*J263+Data!$Q$88*J293</f>
        <v>0.30399999999999999</v>
      </c>
      <c r="K355" s="713">
        <f>Data!$Q$85*K278+Data!$Q$86*K278+Data!$Q$87*K263+Data!$Q$88*K293</f>
        <v>0.30399999999999999</v>
      </c>
      <c r="L355" s="713">
        <f>Data!$Q$85*L278+Data!$Q$86*L278+Data!$Q$87*L263+Data!$Q$88*L293</f>
        <v>0.36399999999999999</v>
      </c>
      <c r="M355" s="713">
        <f>Data!$Q$85*M278+Data!$Q$86*M278+Data!$Q$87*M263+Data!$Q$88*M293</f>
        <v>0.40149999999999997</v>
      </c>
      <c r="N355" s="713">
        <f>Data!$Q$85*N278+Data!$Q$86*N278+Data!$Q$87*N263+Data!$Q$88*N293</f>
        <v>0.43149999999999994</v>
      </c>
      <c r="O355" s="713">
        <f>Data!$Q$85*O278+Data!$Q$86*O278+Data!$Q$87*O263+Data!$Q$88*O293</f>
        <v>0.46149999999999997</v>
      </c>
      <c r="P355" s="713">
        <f>Data!$Q$85*P278+Data!$Q$86*P278+Data!$Q$87*P263+Data!$Q$88*P293</f>
        <v>0.43149999999999999</v>
      </c>
      <c r="Q355" s="713">
        <f>Data!$Q$85*Q278+Data!$Q$86*Q278+Data!$Q$87*Q263+Data!$Q$88*Q293</f>
        <v>0.41649999999999998</v>
      </c>
      <c r="R355" s="713">
        <f>Data!$Q$85*R278+Data!$Q$86*R278+Data!$Q$87*R263+Data!$Q$88*R293</f>
        <v>0.41649999999999998</v>
      </c>
      <c r="S355" s="713">
        <f>Data!$Q$85*S278+Data!$Q$86*S278+Data!$Q$87*S263+Data!$Q$88*S293</f>
        <v>0.41649999999999998</v>
      </c>
      <c r="T355" s="713">
        <f>Data!$Q$85*T278+Data!$Q$86*T278+Data!$Q$87*T263+Data!$Q$88*T293</f>
        <v>0.41649999999999998</v>
      </c>
      <c r="U355" s="713">
        <f>Data!$Q$85*U278+Data!$Q$86*U278+Data!$Q$87*U263+Data!$Q$88*U293</f>
        <v>0.41649999999999998</v>
      </c>
      <c r="V355" s="713">
        <f>Data!$Q$85*V278+Data!$Q$86*V278+Data!$Q$87*V263+Data!$Q$88*V293</f>
        <v>0.41649999999999998</v>
      </c>
      <c r="W355" s="713">
        <f>Data!$Q$85*W278+Data!$Q$86*W278+Data!$Q$87*W263+Data!$Q$88*W293</f>
        <v>0.41649999999999998</v>
      </c>
      <c r="X355" s="713">
        <f>Data!$Q$85*X278+Data!$Q$86*X278+Data!$Q$87*X263+Data!$Q$88*X293</f>
        <v>0.52149999999999996</v>
      </c>
      <c r="Y355" s="713">
        <f>Data!$Q$85*Y278+Data!$Q$86*Y278+Data!$Q$87*Y263+Data!$Q$88*Y293</f>
        <v>0.55149999999999999</v>
      </c>
      <c r="Z355" s="713">
        <f>Data!$Q$85*Z278+Data!$Q$86*Z278+Data!$Q$87*Z263+Data!$Q$88*Z293</f>
        <v>0.55149999999999999</v>
      </c>
      <c r="AA355" s="713">
        <f>Data!$Q$85*AA278+Data!$Q$86*AA278+Data!$Q$87*AA263+Data!$Q$88*AA293</f>
        <v>0.55149999999999999</v>
      </c>
      <c r="AB355" s="713">
        <f>Data!$Q$85*AB278+Data!$Q$86*AB278+Data!$Q$87*AB263+Data!$Q$88*AB293</f>
        <v>0.52149999999999996</v>
      </c>
      <c r="AC355" s="719">
        <f>Data!$Q$85*AC278+Data!$Q$86*AC278+Data!$Q$87*AC263+Data!$Q$88*AC293</f>
        <v>0.36399999999999999</v>
      </c>
      <c r="AD355" s="41"/>
      <c r="AE355" s="41"/>
      <c r="AF355" s="41"/>
      <c r="AG355" s="41"/>
      <c r="AH355" s="41"/>
      <c r="AI355" s="41"/>
      <c r="AJ355" s="41"/>
      <c r="AK355" s="41"/>
      <c r="AM355" s="52"/>
    </row>
    <row r="356" spans="1:39" ht="38.65" hidden="1" customHeight="1" thickBot="1">
      <c r="A356" s="1141"/>
      <c r="B356" s="1100"/>
      <c r="C356" s="1172"/>
      <c r="D356" s="1175"/>
      <c r="E356" s="729" t="s">
        <v>526</v>
      </c>
      <c r="F356" s="723">
        <f>Data!$Q$85*F279+Data!$Q$86*F279+Data!$Q$87*F264+Data!$Q$88*F294</f>
        <v>0.36399999999999999</v>
      </c>
      <c r="G356" s="723">
        <f>Data!$Q$85*G279+Data!$Q$86*G279+Data!$Q$87*G264+Data!$Q$88*G294</f>
        <v>0.36399999999999999</v>
      </c>
      <c r="H356" s="723">
        <f>Data!$Q$85*H279+Data!$Q$86*H279+Data!$Q$87*H264+Data!$Q$88*H294</f>
        <v>0.33400000000000002</v>
      </c>
      <c r="I356" s="723">
        <f>Data!$Q$85*I279+Data!$Q$86*I279+Data!$Q$87*I264+Data!$Q$88*I294</f>
        <v>0.33400000000000002</v>
      </c>
      <c r="J356" s="723">
        <f>Data!$Q$85*J279+Data!$Q$86*J279+Data!$Q$87*J264+Data!$Q$88*J294</f>
        <v>0.33400000000000002</v>
      </c>
      <c r="K356" s="723">
        <f>Data!$Q$85*K279+Data!$Q$86*K279+Data!$Q$87*K264+Data!$Q$88*K294</f>
        <v>0.33400000000000002</v>
      </c>
      <c r="L356" s="723">
        <f>Data!$Q$85*L279+Data!$Q$86*L279+Data!$Q$87*L264+Data!$Q$88*L294</f>
        <v>0.36399999999999999</v>
      </c>
      <c r="M356" s="723">
        <f>Data!$Q$85*M279+Data!$Q$86*M279+Data!$Q$87*M264+Data!$Q$88*M294</f>
        <v>0.43149999999999994</v>
      </c>
      <c r="N356" s="723">
        <f>Data!$Q$85*N279+Data!$Q$86*N279+Data!$Q$87*N264+Data!$Q$88*N294</f>
        <v>0.43149999999999994</v>
      </c>
      <c r="O356" s="723">
        <f>Data!$Q$85*O279+Data!$Q$86*O279+Data!$Q$87*O264+Data!$Q$88*O294</f>
        <v>0.40149999999999997</v>
      </c>
      <c r="P356" s="723">
        <f>Data!$Q$85*P279+Data!$Q$86*P279+Data!$Q$87*P264+Data!$Q$88*P294</f>
        <v>0.40149999999999997</v>
      </c>
      <c r="Q356" s="723">
        <f>Data!$Q$85*Q279+Data!$Q$86*Q279+Data!$Q$87*Q264+Data!$Q$88*Q294</f>
        <v>0.40149999999999997</v>
      </c>
      <c r="R356" s="723">
        <f>Data!$Q$85*R279+Data!$Q$86*R279+Data!$Q$87*R264+Data!$Q$88*R294</f>
        <v>0.45399999999999996</v>
      </c>
      <c r="S356" s="723">
        <f>Data!$Q$85*S279+Data!$Q$86*S279+Data!$Q$87*S264+Data!$Q$88*S294</f>
        <v>0.42400000000000004</v>
      </c>
      <c r="T356" s="723">
        <f>Data!$Q$85*T279+Data!$Q$86*T279+Data!$Q$87*T264+Data!$Q$88*T294</f>
        <v>0.42400000000000004</v>
      </c>
      <c r="U356" s="723">
        <f>Data!$Q$85*U279+Data!$Q$86*U279+Data!$Q$87*U264+Data!$Q$88*U294</f>
        <v>0.42400000000000004</v>
      </c>
      <c r="V356" s="723">
        <f>Data!$Q$85*V279+Data!$Q$86*V279+Data!$Q$87*V264+Data!$Q$88*V294</f>
        <v>0.42400000000000004</v>
      </c>
      <c r="W356" s="723">
        <f>Data!$Q$85*W279+Data!$Q$86*W279+Data!$Q$87*W264+Data!$Q$88*W294</f>
        <v>0.42400000000000004</v>
      </c>
      <c r="X356" s="723">
        <f>Data!$Q$85*X279+Data!$Q$86*X279+Data!$Q$87*X264+Data!$Q$88*X294</f>
        <v>0.51400000000000001</v>
      </c>
      <c r="Y356" s="723">
        <f>Data!$Q$85*Y279+Data!$Q$86*Y279+Data!$Q$87*Y264+Data!$Q$88*Y294</f>
        <v>0.57399999999999995</v>
      </c>
      <c r="Z356" s="723">
        <f>Data!$Q$85*Z279+Data!$Q$86*Z279+Data!$Q$87*Z264+Data!$Q$88*Z294</f>
        <v>0.60399999999999998</v>
      </c>
      <c r="AA356" s="723">
        <f>Data!$Q$85*AA279+Data!$Q$86*AA279+Data!$Q$87*AA264+Data!$Q$88*AA294</f>
        <v>0.54400000000000004</v>
      </c>
      <c r="AB356" s="723">
        <f>Data!$Q$85*AB279+Data!$Q$86*AB279+Data!$Q$87*AB264+Data!$Q$88*AB294</f>
        <v>0.42399999999999999</v>
      </c>
      <c r="AC356" s="730">
        <f>Data!$Q$85*AC279+Data!$Q$86*AC279+Data!$Q$87*AC264+Data!$Q$88*AC294</f>
        <v>0.36399999999999999</v>
      </c>
      <c r="AD356" s="41"/>
      <c r="AE356" s="41"/>
      <c r="AF356" s="41"/>
      <c r="AG356" s="41"/>
      <c r="AH356" s="41"/>
      <c r="AI356" s="41"/>
      <c r="AJ356" s="41"/>
      <c r="AK356" s="41"/>
      <c r="AM356" s="52"/>
    </row>
    <row r="357" spans="1:39" ht="38.450000000000003" hidden="1" customHeight="1">
      <c r="A357" s="1139" t="s">
        <v>132</v>
      </c>
      <c r="B357" s="1099" t="s">
        <v>783</v>
      </c>
      <c r="C357" s="1029" t="s">
        <v>711</v>
      </c>
      <c r="D357" s="1183" t="s">
        <v>774</v>
      </c>
      <c r="E357" s="724" t="s">
        <v>517</v>
      </c>
      <c r="F357" s="716">
        <f>Data!$Q$85*F280+Data!$Q$86*F280+Data!$Q$87*F265+Data!$Q$88*F295</f>
        <v>0.3</v>
      </c>
      <c r="G357" s="716">
        <f>Data!$Q$85*G280+Data!$Q$86*G280+Data!$Q$87*G265+Data!$Q$88*G295</f>
        <v>0.3</v>
      </c>
      <c r="H357" s="716">
        <f>Data!$Q$85*H280+Data!$Q$86*H280+Data!$Q$87*H265+Data!$Q$88*H295</f>
        <v>0.3</v>
      </c>
      <c r="I357" s="716">
        <f>Data!$Q$85*I280+Data!$Q$86*I280+Data!$Q$87*I265+Data!$Q$88*I295</f>
        <v>0.3</v>
      </c>
      <c r="J357" s="716">
        <f>Data!$Q$85*J280+Data!$Q$86*J280+Data!$Q$87*J265+Data!$Q$88*J295</f>
        <v>0.3</v>
      </c>
      <c r="K357" s="716">
        <f>Data!$Q$85*K280+Data!$Q$86*K280+Data!$Q$87*K265+Data!$Q$88*K295</f>
        <v>0.85000000000000009</v>
      </c>
      <c r="L357" s="716">
        <f>Data!$Q$85*L280+Data!$Q$86*L280+Data!$Q$87*L265+Data!$Q$88*L295</f>
        <v>0.85000000000000009</v>
      </c>
      <c r="M357" s="716">
        <f>Data!$Q$85*M280+Data!$Q$86*M280+Data!$Q$87*M265+Data!$Q$88*M295</f>
        <v>1</v>
      </c>
      <c r="N357" s="716">
        <f>Data!$Q$85*N280+Data!$Q$86*N280+Data!$Q$87*N265+Data!$Q$88*N295</f>
        <v>1</v>
      </c>
      <c r="O357" s="716">
        <f>Data!$Q$85*O280+Data!$Q$86*O280+Data!$Q$87*O265+Data!$Q$88*O295</f>
        <v>1</v>
      </c>
      <c r="P357" s="716">
        <f>Data!$Q$85*P280+Data!$Q$86*P280+Data!$Q$87*P265+Data!$Q$88*P295</f>
        <v>1</v>
      </c>
      <c r="Q357" s="716">
        <f>Data!$Q$85*Q280+Data!$Q$86*Q280+Data!$Q$87*Q265+Data!$Q$88*Q295</f>
        <v>1</v>
      </c>
      <c r="R357" s="716">
        <f>Data!$Q$85*R280+Data!$Q$86*R280+Data!$Q$87*R265+Data!$Q$88*R295</f>
        <v>1</v>
      </c>
      <c r="S357" s="716">
        <f>Data!$Q$85*S280+Data!$Q$86*S280+Data!$Q$87*S265+Data!$Q$88*S295</f>
        <v>1</v>
      </c>
      <c r="T357" s="716">
        <f>Data!$Q$85*T280+Data!$Q$86*T280+Data!$Q$87*T265+Data!$Q$88*T295</f>
        <v>1</v>
      </c>
      <c r="U357" s="716">
        <f>Data!$Q$85*U280+Data!$Q$86*U280+Data!$Q$87*U265+Data!$Q$88*U295</f>
        <v>1</v>
      </c>
      <c r="V357" s="716">
        <f>Data!$Q$85*V280+Data!$Q$86*V280+Data!$Q$87*V265+Data!$Q$88*V295</f>
        <v>1</v>
      </c>
      <c r="W357" s="716">
        <f>Data!$Q$85*W280+Data!$Q$86*W280+Data!$Q$87*W265+Data!$Q$88*W295</f>
        <v>1</v>
      </c>
      <c r="X357" s="716">
        <f>Data!$Q$85*X280+Data!$Q$86*X280+Data!$Q$87*X265+Data!$Q$88*X295</f>
        <v>1</v>
      </c>
      <c r="Y357" s="716">
        <f>Data!$Q$85*Y280+Data!$Q$86*Y280+Data!$Q$87*Y265+Data!$Q$88*Y295</f>
        <v>1</v>
      </c>
      <c r="Z357" s="716">
        <f>Data!$Q$85*Z280+Data!$Q$86*Z280+Data!$Q$87*Z265+Data!$Q$88*Z295</f>
        <v>1</v>
      </c>
      <c r="AA357" s="716">
        <f>Data!$Q$85*AA280+Data!$Q$86*AA280+Data!$Q$87*AA265+Data!$Q$88*AA295</f>
        <v>1</v>
      </c>
      <c r="AB357" s="716">
        <f>Data!$Q$85*AB280+Data!$Q$86*AB280+Data!$Q$87*AB265+Data!$Q$88*AB295</f>
        <v>1</v>
      </c>
      <c r="AC357" s="717">
        <f>Data!$Q$85*AC280+Data!$Q$86*AC280+Data!$Q$87*AC265+Data!$Q$88*AC295</f>
        <v>0.85000000000000009</v>
      </c>
      <c r="AD357" s="41"/>
      <c r="AE357" s="41"/>
      <c r="AF357" s="41"/>
      <c r="AG357" s="41"/>
      <c r="AH357" s="41"/>
      <c r="AI357" s="41"/>
      <c r="AJ357" s="41"/>
      <c r="AK357" s="41"/>
      <c r="AM357" s="52"/>
    </row>
    <row r="358" spans="1:39" ht="38.65" hidden="1" customHeight="1">
      <c r="A358" s="1140"/>
      <c r="B358" s="1090"/>
      <c r="C358" s="1003"/>
      <c r="D358" s="1184"/>
      <c r="E358" s="725" t="s">
        <v>524</v>
      </c>
      <c r="F358" s="713">
        <f>Data!$Q$85*F281+Data!$Q$86*F281+Data!$Q$87*F266+Data!$Q$88*F296</f>
        <v>0.3</v>
      </c>
      <c r="G358" s="713">
        <f>Data!$Q$85*G281+Data!$Q$86*G281+Data!$Q$87*G266+Data!$Q$88*G296</f>
        <v>0.3</v>
      </c>
      <c r="H358" s="713">
        <f>Data!$Q$85*H281+Data!$Q$86*H281+Data!$Q$87*H266+Data!$Q$88*H296</f>
        <v>0.3</v>
      </c>
      <c r="I358" s="713">
        <f>Data!$Q$85*I281+Data!$Q$86*I281+Data!$Q$87*I266+Data!$Q$88*I296</f>
        <v>0.3</v>
      </c>
      <c r="J358" s="713">
        <f>Data!$Q$85*J281+Data!$Q$86*J281+Data!$Q$87*J266+Data!$Q$88*J296</f>
        <v>0.3</v>
      </c>
      <c r="K358" s="713">
        <f>Data!$Q$85*K281+Data!$Q$86*K281+Data!$Q$87*K266+Data!$Q$88*K296</f>
        <v>0.85000000000000009</v>
      </c>
      <c r="L358" s="713">
        <f>Data!$Q$85*L281+Data!$Q$86*L281+Data!$Q$87*L266+Data!$Q$88*L296</f>
        <v>0.85000000000000009</v>
      </c>
      <c r="M358" s="713">
        <f>Data!$Q$85*M281+Data!$Q$86*M281+Data!$Q$87*M266+Data!$Q$88*M296</f>
        <v>1</v>
      </c>
      <c r="N358" s="713">
        <f>Data!$Q$85*N281+Data!$Q$86*N281+Data!$Q$87*N266+Data!$Q$88*N296</f>
        <v>1</v>
      </c>
      <c r="O358" s="713">
        <f>Data!$Q$85*O281+Data!$Q$86*O281+Data!$Q$87*O266+Data!$Q$88*O296</f>
        <v>1</v>
      </c>
      <c r="P358" s="713">
        <f>Data!$Q$85*P281+Data!$Q$86*P281+Data!$Q$87*P266+Data!$Q$88*P296</f>
        <v>1</v>
      </c>
      <c r="Q358" s="713">
        <f>Data!$Q$85*Q281+Data!$Q$86*Q281+Data!$Q$87*Q266+Data!$Q$88*Q296</f>
        <v>1</v>
      </c>
      <c r="R358" s="713">
        <f>Data!$Q$85*R281+Data!$Q$86*R281+Data!$Q$87*R266+Data!$Q$88*R296</f>
        <v>1</v>
      </c>
      <c r="S358" s="713">
        <f>Data!$Q$85*S281+Data!$Q$86*S281+Data!$Q$87*S266+Data!$Q$88*S296</f>
        <v>1</v>
      </c>
      <c r="T358" s="713">
        <f>Data!$Q$85*T281+Data!$Q$86*T281+Data!$Q$87*T266+Data!$Q$88*T296</f>
        <v>1</v>
      </c>
      <c r="U358" s="713">
        <f>Data!$Q$85*U281+Data!$Q$86*U281+Data!$Q$87*U266+Data!$Q$88*U296</f>
        <v>1</v>
      </c>
      <c r="V358" s="713">
        <f>Data!$Q$85*V281+Data!$Q$86*V281+Data!$Q$87*V266+Data!$Q$88*V296</f>
        <v>1</v>
      </c>
      <c r="W358" s="713">
        <f>Data!$Q$85*W281+Data!$Q$86*W281+Data!$Q$87*W266+Data!$Q$88*W296</f>
        <v>1</v>
      </c>
      <c r="X358" s="713">
        <f>Data!$Q$85*X281+Data!$Q$86*X281+Data!$Q$87*X266+Data!$Q$88*X296</f>
        <v>1</v>
      </c>
      <c r="Y358" s="713">
        <f>Data!$Q$85*Y281+Data!$Q$86*Y281+Data!$Q$87*Y266+Data!$Q$88*Y296</f>
        <v>0.44999999999999996</v>
      </c>
      <c r="Z358" s="713">
        <f>Data!$Q$85*Z281+Data!$Q$86*Z281+Data!$Q$87*Z266+Data!$Q$88*Z296</f>
        <v>0.44999999999999996</v>
      </c>
      <c r="AA358" s="713">
        <f>Data!$Q$85*AA281+Data!$Q$86*AA281+Data!$Q$87*AA266+Data!$Q$88*AA296</f>
        <v>0.44999999999999996</v>
      </c>
      <c r="AB358" s="713">
        <f>Data!$Q$85*AB281+Data!$Q$86*AB281+Data!$Q$87*AB266+Data!$Q$88*AB296</f>
        <v>0.44999999999999996</v>
      </c>
      <c r="AC358" s="719">
        <f>Data!$Q$85*AC281+Data!$Q$86*AC281+Data!$Q$87*AC266+Data!$Q$88*AC296</f>
        <v>0.3</v>
      </c>
      <c r="AD358" s="41"/>
      <c r="AE358" s="41"/>
      <c r="AF358" s="41"/>
      <c r="AG358" s="41"/>
      <c r="AH358" s="41"/>
      <c r="AI358" s="41"/>
      <c r="AJ358" s="41"/>
      <c r="AK358" s="41"/>
      <c r="AM358" s="52"/>
    </row>
    <row r="359" spans="1:39" ht="38.450000000000003" hidden="1" customHeight="1" thickBot="1">
      <c r="A359" s="1141"/>
      <c r="B359" s="1100"/>
      <c r="C359" s="1036"/>
      <c r="D359" s="1185"/>
      <c r="E359" s="726" t="s">
        <v>526</v>
      </c>
      <c r="F359" s="721">
        <f>Data!$Q$85*F282+Data!$Q$86*F282+Data!$Q$87*F267+Data!$Q$88*F297</f>
        <v>0.3</v>
      </c>
      <c r="G359" s="721">
        <f>Data!$Q$85*G282+Data!$Q$86*G282+Data!$Q$87*G267+Data!$Q$88*G297</f>
        <v>0.3</v>
      </c>
      <c r="H359" s="721">
        <f>Data!$Q$85*H282+Data!$Q$86*H282+Data!$Q$87*H267+Data!$Q$88*H297</f>
        <v>0.3</v>
      </c>
      <c r="I359" s="721">
        <f>Data!$Q$85*I282+Data!$Q$86*I282+Data!$Q$87*I267+Data!$Q$88*I297</f>
        <v>0.3</v>
      </c>
      <c r="J359" s="721">
        <f>Data!$Q$85*J282+Data!$Q$86*J282+Data!$Q$87*J267+Data!$Q$88*J297</f>
        <v>0.3</v>
      </c>
      <c r="K359" s="721">
        <f>Data!$Q$85*K282+Data!$Q$86*K282+Data!$Q$87*K267+Data!$Q$88*K297</f>
        <v>0.3</v>
      </c>
      <c r="L359" s="721">
        <f>Data!$Q$85*L282+Data!$Q$86*L282+Data!$Q$87*L267+Data!$Q$88*L297</f>
        <v>0.3</v>
      </c>
      <c r="M359" s="721">
        <f>Data!$Q$85*M282+Data!$Q$86*M282+Data!$Q$87*M267+Data!$Q$88*M297</f>
        <v>0.44999999999999996</v>
      </c>
      <c r="N359" s="721">
        <f>Data!$Q$85*N282+Data!$Q$86*N282+Data!$Q$87*N267+Data!$Q$88*N297</f>
        <v>0.44999999999999996</v>
      </c>
      <c r="O359" s="721">
        <f>Data!$Q$85*O282+Data!$Q$86*O282+Data!$Q$87*O267+Data!$Q$88*O297</f>
        <v>0.44999999999999996</v>
      </c>
      <c r="P359" s="721">
        <f>Data!$Q$85*P282+Data!$Q$86*P282+Data!$Q$87*P267+Data!$Q$88*P297</f>
        <v>0.44999999999999996</v>
      </c>
      <c r="Q359" s="721">
        <f>Data!$Q$85*Q282+Data!$Q$86*Q282+Data!$Q$87*Q267+Data!$Q$88*Q297</f>
        <v>0.44999999999999996</v>
      </c>
      <c r="R359" s="721">
        <f>Data!$Q$85*R282+Data!$Q$86*R282+Data!$Q$87*R267+Data!$Q$88*R297</f>
        <v>0.44999999999999996</v>
      </c>
      <c r="S359" s="721">
        <f>Data!$Q$85*S282+Data!$Q$86*S282+Data!$Q$87*S267+Data!$Q$88*S297</f>
        <v>0.44999999999999996</v>
      </c>
      <c r="T359" s="721">
        <f>Data!$Q$85*T282+Data!$Q$86*T282+Data!$Q$87*T267+Data!$Q$88*T297</f>
        <v>0.44999999999999996</v>
      </c>
      <c r="U359" s="721">
        <f>Data!$Q$85*U282+Data!$Q$86*U282+Data!$Q$87*U267+Data!$Q$88*U297</f>
        <v>0.44999999999999996</v>
      </c>
      <c r="V359" s="721">
        <f>Data!$Q$85*V282+Data!$Q$86*V282+Data!$Q$87*V267+Data!$Q$88*V297</f>
        <v>0.44999999999999996</v>
      </c>
      <c r="W359" s="721">
        <f>Data!$Q$85*W282+Data!$Q$86*W282+Data!$Q$87*W267+Data!$Q$88*W297</f>
        <v>0.44999999999999996</v>
      </c>
      <c r="X359" s="721">
        <f>Data!$Q$85*X282+Data!$Q$86*X282+Data!$Q$87*X267+Data!$Q$88*X297</f>
        <v>0.44999999999999996</v>
      </c>
      <c r="Y359" s="721">
        <f>Data!$Q$85*Y282+Data!$Q$86*Y282+Data!$Q$87*Y267+Data!$Q$88*Y297</f>
        <v>0.44999999999999996</v>
      </c>
      <c r="Z359" s="721">
        <f>Data!$Q$85*Z282+Data!$Q$86*Z282+Data!$Q$87*Z267+Data!$Q$88*Z297</f>
        <v>0.44999999999999996</v>
      </c>
      <c r="AA359" s="721">
        <f>Data!$Q$85*AA282+Data!$Q$86*AA282+Data!$Q$87*AA267+Data!$Q$88*AA297</f>
        <v>0.44999999999999996</v>
      </c>
      <c r="AB359" s="721">
        <f>Data!$Q$85*AB282+Data!$Q$86*AB282+Data!$Q$87*AB267+Data!$Q$88*AB297</f>
        <v>0.44999999999999996</v>
      </c>
      <c r="AC359" s="722">
        <f>Data!$Q$85*AC282+Data!$Q$86*AC282+Data!$Q$87*AC267+Data!$Q$88*AC297</f>
        <v>0.3</v>
      </c>
      <c r="AD359" s="41"/>
      <c r="AE359" s="41"/>
      <c r="AF359" s="41"/>
      <c r="AG359" s="41"/>
      <c r="AH359" s="41"/>
      <c r="AI359" s="41"/>
      <c r="AJ359" s="41"/>
      <c r="AK359" s="41"/>
      <c r="AM359" s="52"/>
    </row>
    <row r="360" spans="1:39" ht="38.65" hidden="1" customHeight="1">
      <c r="A360" s="1139" t="s">
        <v>132</v>
      </c>
      <c r="B360" s="1099" t="s">
        <v>783</v>
      </c>
      <c r="C360" s="1029" t="s">
        <v>713</v>
      </c>
      <c r="D360" s="1169" t="s">
        <v>774</v>
      </c>
      <c r="E360" s="727" t="s">
        <v>517</v>
      </c>
      <c r="F360" s="714">
        <f>Data!$Q$85*F283+Data!$Q$86*F283+Data!$Q$87*F268+Data!$Q$88*F298</f>
        <v>0.37204999999999999</v>
      </c>
      <c r="G360" s="714">
        <f>Data!$Q$85*G283+Data!$Q$86*G283+Data!$Q$87*G268+Data!$Q$88*G298</f>
        <v>0.34125</v>
      </c>
      <c r="H360" s="714">
        <f>Data!$Q$85*H283+Data!$Q$86*H283+Data!$Q$87*H268+Data!$Q$88*H298</f>
        <v>0.34620000000000001</v>
      </c>
      <c r="I360" s="714">
        <f>Data!$Q$85*I283+Data!$Q$86*I283+Data!$Q$87*I268+Data!$Q$88*I298</f>
        <v>0.35664999999999997</v>
      </c>
      <c r="J360" s="714">
        <f>Data!$Q$85*J283+Data!$Q$86*J283+Data!$Q$87*J268+Data!$Q$88*J298</f>
        <v>0.40284999999999999</v>
      </c>
      <c r="K360" s="714">
        <f>Data!$Q$85*K283+Data!$Q$86*K283+Data!$Q$87*K268+Data!$Q$88*K298</f>
        <v>0.45104999999999995</v>
      </c>
      <c r="L360" s="714">
        <f>Data!$Q$85*L283+Data!$Q$86*L283+Data!$Q$87*L268+Data!$Q$88*L298</f>
        <v>0.68259999999999987</v>
      </c>
      <c r="M360" s="714">
        <f>Data!$Q$85*M283+Data!$Q$86*M283+Data!$Q$87*M268+Data!$Q$88*M298</f>
        <v>0.77500000000000002</v>
      </c>
      <c r="N360" s="714">
        <f>Data!$Q$85*N283+Data!$Q$86*N283+Data!$Q$87*N268+Data!$Q$88*N298</f>
        <v>0.57759999999999989</v>
      </c>
      <c r="O360" s="714">
        <f>Data!$Q$85*O283+Data!$Q$86*O283+Data!$Q$87*O268+Data!$Q$88*O298</f>
        <v>0.46684999999999999</v>
      </c>
      <c r="P360" s="714">
        <f>Data!$Q$85*P283+Data!$Q$86*P283+Data!$Q$87*P268+Data!$Q$88*P298</f>
        <v>0.39479999999999998</v>
      </c>
      <c r="Q360" s="714">
        <f>Data!$Q$85*Q283+Data!$Q$86*Q283+Data!$Q$87*Q268+Data!$Q$88*Q298</f>
        <v>0.36774999999999997</v>
      </c>
      <c r="R360" s="714">
        <f>Data!$Q$85*R283+Data!$Q$86*R283+Data!$Q$87*R268+Data!$Q$88*R298</f>
        <v>0.31230000000000002</v>
      </c>
      <c r="S360" s="714">
        <f>Data!$Q$85*S283+Data!$Q$86*S283+Data!$Q$87*S268+Data!$Q$88*S298</f>
        <v>0.2969</v>
      </c>
      <c r="T360" s="714">
        <f>Data!$Q$85*T283+Data!$Q$86*T283+Data!$Q$87*T268+Data!$Q$88*T298</f>
        <v>0.29194999999999999</v>
      </c>
      <c r="U360" s="714">
        <f>Data!$Q$85*U283+Data!$Q$86*U283+Data!$Q$87*U268+Data!$Q$88*U298</f>
        <v>0.26114999999999999</v>
      </c>
      <c r="V360" s="714">
        <f>Data!$Q$85*V283+Data!$Q$86*V283+Data!$Q$87*V268+Data!$Q$88*V298</f>
        <v>0.34365000000000001</v>
      </c>
      <c r="W360" s="714">
        <f>Data!$Q$85*W283+Data!$Q$86*W283+Data!$Q$87*W268+Data!$Q$88*W298</f>
        <v>0.47194999999999998</v>
      </c>
      <c r="X360" s="714">
        <f>Data!$Q$85*X283+Data!$Q$86*X283+Data!$Q$87*X268+Data!$Q$88*X298</f>
        <v>0.49229999999999996</v>
      </c>
      <c r="Y360" s="714">
        <f>Data!$Q$85*Y283+Data!$Q$86*Y283+Data!$Q$87*Y268+Data!$Q$88*Y298</f>
        <v>0.46644999999999998</v>
      </c>
      <c r="Z360" s="714">
        <f>Data!$Q$85*Z283+Data!$Q$86*Z283+Data!$Q$87*Z268+Data!$Q$88*Z298</f>
        <v>0.44114999999999999</v>
      </c>
      <c r="AA360" s="714">
        <f>Data!$Q$85*AA283+Data!$Q$86*AA283+Data!$Q$87*AA268+Data!$Q$88*AA298</f>
        <v>0.50019999999999998</v>
      </c>
      <c r="AB360" s="714">
        <f>Data!$Q$85*AB283+Data!$Q$86*AB283+Data!$Q$87*AB268+Data!$Q$88*AB298</f>
        <v>0.48480000000000001</v>
      </c>
      <c r="AC360" s="728">
        <f>Data!$Q$85*AC283+Data!$Q$86*AC283+Data!$Q$87*AC268+Data!$Q$88*AC298</f>
        <v>0.4133</v>
      </c>
      <c r="AD360" s="41"/>
      <c r="AE360" s="41"/>
      <c r="AF360" s="41"/>
      <c r="AG360" s="41"/>
      <c r="AH360" s="41"/>
      <c r="AI360" s="41"/>
      <c r="AJ360" s="41"/>
      <c r="AK360" s="41"/>
      <c r="AM360" s="52"/>
    </row>
    <row r="361" spans="1:39" ht="38.65" hidden="1" customHeight="1">
      <c r="A361" s="1140"/>
      <c r="B361" s="1090"/>
      <c r="C361" s="1003"/>
      <c r="D361" s="1170"/>
      <c r="E361" s="718" t="s">
        <v>524</v>
      </c>
      <c r="F361" s="713">
        <f>Data!$Q$85*F284+Data!$Q$86*F284+Data!$Q$87*F269+Data!$Q$88*F299</f>
        <v>0.38934999999999997</v>
      </c>
      <c r="G361" s="713">
        <f>Data!$Q$85*G284+Data!$Q$86*G284+Data!$Q$87*G269+Data!$Q$88*G299</f>
        <v>0.33600000000000002</v>
      </c>
      <c r="H361" s="713">
        <f>Data!$Q$85*H284+Data!$Q$86*H284+Data!$Q$87*H269+Data!$Q$88*H299</f>
        <v>0.32940000000000003</v>
      </c>
      <c r="I361" s="713">
        <f>Data!$Q$85*I284+Data!$Q$86*I284+Data!$Q$87*I269+Data!$Q$88*I299</f>
        <v>0.32280000000000003</v>
      </c>
      <c r="J361" s="713">
        <f>Data!$Q$85*J284+Data!$Q$86*J284+Data!$Q$87*J269+Data!$Q$88*J299</f>
        <v>0.36955000000000005</v>
      </c>
      <c r="K361" s="713">
        <f>Data!$Q$85*K284+Data!$Q$86*K284+Data!$Q$87*K269+Data!$Q$88*K299</f>
        <v>0.34735000000000005</v>
      </c>
      <c r="L361" s="713">
        <f>Data!$Q$85*L284+Data!$Q$86*L284+Data!$Q$87*L269+Data!$Q$88*L299</f>
        <v>0.36714999999999998</v>
      </c>
      <c r="M361" s="713">
        <f>Data!$Q$85*M284+Data!$Q$86*M284+Data!$Q$87*M269+Data!$Q$88*M299</f>
        <v>0.50629999999999997</v>
      </c>
      <c r="N361" s="713">
        <f>Data!$Q$85*N284+Data!$Q$86*N284+Data!$Q$87*N269+Data!$Q$88*N299</f>
        <v>0.60039999999999993</v>
      </c>
      <c r="O361" s="713">
        <f>Data!$Q$85*O284+Data!$Q$86*O284+Data!$Q$87*O269+Data!$Q$88*O299</f>
        <v>0.64749999999999996</v>
      </c>
      <c r="P361" s="713">
        <f>Data!$Q$85*P284+Data!$Q$86*P284+Data!$Q$87*P269+Data!$Q$88*P299</f>
        <v>0.58809999999999996</v>
      </c>
      <c r="Q361" s="713">
        <f>Data!$Q$85*Q284+Data!$Q$86*Q284+Data!$Q$87*Q269+Data!$Q$88*Q299</f>
        <v>0.52424999999999999</v>
      </c>
      <c r="R361" s="713">
        <f>Data!$Q$85*R284+Data!$Q$86*R284+Data!$Q$87*R269+Data!$Q$88*R299</f>
        <v>0.42769999999999997</v>
      </c>
      <c r="S361" s="713">
        <f>Data!$Q$85*S284+Data!$Q$86*S284+Data!$Q$87*S269+Data!$Q$88*S299</f>
        <v>0.37490000000000001</v>
      </c>
      <c r="T361" s="713">
        <f>Data!$Q$85*T284+Data!$Q$86*T284+Data!$Q$87*T269+Data!$Q$88*T299</f>
        <v>0.34849999999999992</v>
      </c>
      <c r="U361" s="713">
        <f>Data!$Q$85*U284+Data!$Q$86*U284+Data!$Q$87*U269+Data!$Q$88*U299</f>
        <v>0.34849999999999992</v>
      </c>
      <c r="V361" s="713">
        <f>Data!$Q$85*V284+Data!$Q$86*V284+Data!$Q$87*V269+Data!$Q$88*V299</f>
        <v>0.43484999999999996</v>
      </c>
      <c r="W361" s="713">
        <f>Data!$Q$85*W284+Data!$Q$86*W284+Data!$Q$87*W269+Data!$Q$88*W299</f>
        <v>0.59444999999999992</v>
      </c>
      <c r="X361" s="713">
        <f>Data!$Q$85*X284+Data!$Q$86*X284+Data!$Q$87*X269+Data!$Q$88*X299</f>
        <v>0.58124999999999993</v>
      </c>
      <c r="Y361" s="713">
        <f>Data!$Q$85*Y284+Data!$Q$86*Y284+Data!$Q$87*Y269+Data!$Q$88*Y299</f>
        <v>0.65234999999999999</v>
      </c>
      <c r="Z361" s="713">
        <f>Data!$Q$85*Z284+Data!$Q$86*Z284+Data!$Q$87*Z269+Data!$Q$88*Z299</f>
        <v>0.56630000000000003</v>
      </c>
      <c r="AA361" s="713">
        <f>Data!$Q$85*AA284+Data!$Q$86*AA284+Data!$Q$87*AA269+Data!$Q$88*AA299</f>
        <v>0.5615</v>
      </c>
      <c r="AB361" s="713">
        <f>Data!$Q$85*AB284+Data!$Q$86*AB284+Data!$Q$87*AB269+Data!$Q$88*AB299</f>
        <v>0.53510000000000002</v>
      </c>
      <c r="AC361" s="719">
        <f>Data!$Q$85*AC284+Data!$Q$86*AC284+Data!$Q$87*AC269+Data!$Q$88*AC299</f>
        <v>0.45535000000000003</v>
      </c>
      <c r="AD361" s="41"/>
      <c r="AE361" s="41"/>
      <c r="AF361" s="41"/>
      <c r="AG361" s="41"/>
      <c r="AH361" s="41"/>
      <c r="AI361" s="41"/>
      <c r="AJ361" s="41"/>
      <c r="AK361" s="41"/>
      <c r="AM361" s="52"/>
    </row>
    <row r="362" spans="1:39" ht="38.65" hidden="1" customHeight="1" thickBot="1">
      <c r="A362" s="1141"/>
      <c r="B362" s="1100"/>
      <c r="C362" s="1036"/>
      <c r="D362" s="1171"/>
      <c r="E362" s="720" t="s">
        <v>526</v>
      </c>
      <c r="F362" s="721">
        <f>Data!$Q$85*F285+Data!$Q$86*F285+Data!$Q$87*F270+Data!$Q$88*F300</f>
        <v>0.38934999999999997</v>
      </c>
      <c r="G362" s="721">
        <f>Data!$Q$85*G285+Data!$Q$86*G285+Data!$Q$87*G270+Data!$Q$88*G300</f>
        <v>0.33600000000000002</v>
      </c>
      <c r="H362" s="721">
        <f>Data!$Q$85*H285+Data!$Q$86*H285+Data!$Q$87*H270+Data!$Q$88*H300</f>
        <v>0.32940000000000003</v>
      </c>
      <c r="I362" s="721">
        <f>Data!$Q$85*I285+Data!$Q$86*I285+Data!$Q$87*I270+Data!$Q$88*I300</f>
        <v>0.32280000000000003</v>
      </c>
      <c r="J362" s="721">
        <f>Data!$Q$85*J285+Data!$Q$86*J285+Data!$Q$87*J270+Data!$Q$88*J300</f>
        <v>0.36955000000000005</v>
      </c>
      <c r="K362" s="721">
        <f>Data!$Q$85*K285+Data!$Q$86*K285+Data!$Q$87*K270+Data!$Q$88*K300</f>
        <v>0.34735000000000005</v>
      </c>
      <c r="L362" s="721">
        <f>Data!$Q$85*L285+Data!$Q$86*L285+Data!$Q$87*L270+Data!$Q$88*L300</f>
        <v>0.36714999999999998</v>
      </c>
      <c r="M362" s="721">
        <f>Data!$Q$85*M285+Data!$Q$86*M285+Data!$Q$87*M270+Data!$Q$88*M300</f>
        <v>0.50629999999999997</v>
      </c>
      <c r="N362" s="721">
        <f>Data!$Q$85*N285+Data!$Q$86*N285+Data!$Q$87*N270+Data!$Q$88*N300</f>
        <v>0.60039999999999993</v>
      </c>
      <c r="O362" s="721">
        <f>Data!$Q$85*O285+Data!$Q$86*O285+Data!$Q$87*O270+Data!$Q$88*O300</f>
        <v>0.64749999999999996</v>
      </c>
      <c r="P362" s="721">
        <f>Data!$Q$85*P285+Data!$Q$86*P285+Data!$Q$87*P270+Data!$Q$88*P300</f>
        <v>0.58809999999999996</v>
      </c>
      <c r="Q362" s="721">
        <f>Data!$Q$85*Q285+Data!$Q$86*Q285+Data!$Q$87*Q270+Data!$Q$88*Q300</f>
        <v>0.50924999999999998</v>
      </c>
      <c r="R362" s="721">
        <f>Data!$Q$85*R285+Data!$Q$86*R285+Data!$Q$87*R270+Data!$Q$88*R300</f>
        <v>0.42769999999999997</v>
      </c>
      <c r="S362" s="721">
        <f>Data!$Q$85*S285+Data!$Q$86*S285+Data!$Q$87*S270+Data!$Q$88*S300</f>
        <v>0.37490000000000001</v>
      </c>
      <c r="T362" s="721">
        <f>Data!$Q$85*T285+Data!$Q$86*T285+Data!$Q$87*T270+Data!$Q$88*T300</f>
        <v>0.34849999999999992</v>
      </c>
      <c r="U362" s="721">
        <f>Data!$Q$85*U285+Data!$Q$86*U285+Data!$Q$87*U270+Data!$Q$88*U300</f>
        <v>0.34849999999999992</v>
      </c>
      <c r="V362" s="721">
        <f>Data!$Q$85*V285+Data!$Q$86*V285+Data!$Q$87*V270+Data!$Q$88*V300</f>
        <v>0.43484999999999996</v>
      </c>
      <c r="W362" s="721">
        <f>Data!$Q$85*W285+Data!$Q$86*W285+Data!$Q$87*W270+Data!$Q$88*W300</f>
        <v>0.59444999999999992</v>
      </c>
      <c r="X362" s="721">
        <f>Data!$Q$85*X285+Data!$Q$86*X285+Data!$Q$87*X270+Data!$Q$88*X300</f>
        <v>0.58124999999999993</v>
      </c>
      <c r="Y362" s="721">
        <f>Data!$Q$85*Y285+Data!$Q$86*Y285+Data!$Q$87*Y270+Data!$Q$88*Y300</f>
        <v>0.65234999999999999</v>
      </c>
      <c r="Z362" s="721">
        <f>Data!$Q$85*Z285+Data!$Q$86*Z285+Data!$Q$87*Z270+Data!$Q$88*Z300</f>
        <v>0.56630000000000003</v>
      </c>
      <c r="AA362" s="721">
        <f>Data!$Q$85*AA285+Data!$Q$86*AA285+Data!$Q$87*AA270+Data!$Q$88*AA300</f>
        <v>0.5615</v>
      </c>
      <c r="AB362" s="721">
        <f>Data!$Q$85*AB285+Data!$Q$86*AB285+Data!$Q$87*AB270+Data!$Q$88*AB300</f>
        <v>0.53510000000000002</v>
      </c>
      <c r="AC362" s="722">
        <f>Data!$Q$85*AC285+Data!$Q$86*AC285+Data!$Q$87*AC270+Data!$Q$88*AC300</f>
        <v>0.45535000000000003</v>
      </c>
      <c r="AD362" s="41"/>
      <c r="AE362" s="41"/>
      <c r="AF362" s="41"/>
      <c r="AG362" s="41"/>
      <c r="AH362" s="41"/>
      <c r="AI362" s="41"/>
      <c r="AJ362" s="41"/>
      <c r="AK362" s="41"/>
      <c r="AM362" s="52"/>
    </row>
    <row r="363" spans="1:39" ht="36" hidden="1" customHeight="1" thickBot="1">
      <c r="A363" s="1139" t="s">
        <v>132</v>
      </c>
      <c r="B363" s="1099" t="s">
        <v>783</v>
      </c>
      <c r="C363" s="1099" t="s">
        <v>715</v>
      </c>
      <c r="D363" s="1181" t="s">
        <v>785</v>
      </c>
      <c r="E363" s="712" t="s">
        <v>517</v>
      </c>
      <c r="F363" s="721">
        <f>Data!$Q$85*F286+Data!$Q$86*F286+Data!$Q$87*F271+Data!$Q$88*F301</f>
        <v>0</v>
      </c>
      <c r="G363" s="821">
        <f>IF((G357=1),Thermostat!$B$3,Thermostat!$B$4)</f>
        <v>60</v>
      </c>
      <c r="H363" s="821">
        <f>IF((H357=1),Thermostat!$B$3,Thermostat!$B$4)</f>
        <v>60</v>
      </c>
      <c r="I363" s="821">
        <f>IF((I357=1),Thermostat!$B$3,Thermostat!$B$4)</f>
        <v>60</v>
      </c>
      <c r="J363" s="821">
        <f>IF((J357=1),Thermostat!$B$3,Thermostat!$B$4)</f>
        <v>60</v>
      </c>
      <c r="K363" s="821">
        <f>IF((K357=1),Thermostat!$B$3,Thermostat!$B$4)</f>
        <v>60</v>
      </c>
      <c r="L363" s="821">
        <f>IF((L357=1),Thermostat!$B$3,Thermostat!$B$4)</f>
        <v>60</v>
      </c>
      <c r="M363" s="821">
        <f>IF((M357=1),Thermostat!$B$3,Thermostat!$B$4)</f>
        <v>70</v>
      </c>
      <c r="N363" s="821">
        <f>IF((N357=1),Thermostat!$B$3,Thermostat!$B$4)</f>
        <v>70</v>
      </c>
      <c r="O363" s="821">
        <f>IF((O357=1),Thermostat!$B$3,Thermostat!$B$4)</f>
        <v>70</v>
      </c>
      <c r="P363" s="821">
        <f>IF((P357=1),Thermostat!$B$3,Thermostat!$B$4)</f>
        <v>70</v>
      </c>
      <c r="Q363" s="821">
        <f>IF((Q357=1),Thermostat!$B$3,Thermostat!$B$4)</f>
        <v>70</v>
      </c>
      <c r="R363" s="821">
        <f>IF((R357=1),Thermostat!$B$3,Thermostat!$B$4)</f>
        <v>70</v>
      </c>
      <c r="S363" s="821">
        <f>IF((S357=1),Thermostat!$B$3,Thermostat!$B$4)</f>
        <v>70</v>
      </c>
      <c r="T363" s="821">
        <f>IF((T357=1),Thermostat!$B$3,Thermostat!$B$4)</f>
        <v>70</v>
      </c>
      <c r="U363" s="821">
        <f>IF((U357=1),Thermostat!$B$3,Thermostat!$B$4)</f>
        <v>70</v>
      </c>
      <c r="V363" s="821">
        <f>IF((V357=1),Thermostat!$B$3,Thermostat!$B$4)</f>
        <v>70</v>
      </c>
      <c r="W363" s="821">
        <f>IF((W357=1),Thermostat!$B$3,Thermostat!$B$4)</f>
        <v>70</v>
      </c>
      <c r="X363" s="821">
        <f>IF((X357=1),Thermostat!$B$3,Thermostat!$B$4)</f>
        <v>70</v>
      </c>
      <c r="Y363" s="821">
        <f>IF((Y357=1),Thermostat!$B$3,Thermostat!$B$4)</f>
        <v>70</v>
      </c>
      <c r="Z363" s="821">
        <f>IF((Z357=1),Thermostat!$B$3,Thermostat!$B$4)</f>
        <v>70</v>
      </c>
      <c r="AA363" s="821">
        <f>IF((AA357=1),Thermostat!$B$3,Thermostat!$B$4)</f>
        <v>70</v>
      </c>
      <c r="AB363" s="821">
        <f>IF((AB357=1),Thermostat!$B$3,Thermostat!$B$4)</f>
        <v>70</v>
      </c>
      <c r="AC363" s="575">
        <f>IF((AC357=1),Thermostat!$B$3,Thermostat!$B$4)</f>
        <v>60</v>
      </c>
      <c r="AD363" s="42"/>
      <c r="AE363" s="41"/>
      <c r="AF363" s="41"/>
      <c r="AG363" s="41"/>
      <c r="AH363" s="41"/>
      <c r="AI363" s="41"/>
      <c r="AJ363" s="41"/>
      <c r="AK363" s="41"/>
      <c r="AM363" s="52"/>
    </row>
    <row r="364" spans="1:39" ht="36" hidden="1" customHeight="1">
      <c r="A364" s="1140"/>
      <c r="B364" s="1090"/>
      <c r="C364" s="1090"/>
      <c r="D364" s="1007"/>
      <c r="E364" s="572" t="s">
        <v>524</v>
      </c>
      <c r="F364" s="821">
        <f>IF((F358=1),Thermostat!$B$3,Thermostat!$B$4)</f>
        <v>60</v>
      </c>
      <c r="G364" s="821">
        <f>IF((G358=1),Thermostat!$B$3,Thermostat!$B$4)</f>
        <v>60</v>
      </c>
      <c r="H364" s="821">
        <f>IF((H358=1),Thermostat!$B$3,Thermostat!$B$4)</f>
        <v>60</v>
      </c>
      <c r="I364" s="821">
        <f>IF((I358=1),Thermostat!$B$3,Thermostat!$B$4)</f>
        <v>60</v>
      </c>
      <c r="J364" s="821">
        <f>IF((J358=1),Thermostat!$B$3,Thermostat!$B$4)</f>
        <v>60</v>
      </c>
      <c r="K364" s="821">
        <f>IF((K358=1),Thermostat!$B$3,Thermostat!$B$4)</f>
        <v>60</v>
      </c>
      <c r="L364" s="821">
        <f>IF((L358=1),Thermostat!$B$3,Thermostat!$B$4)</f>
        <v>60</v>
      </c>
      <c r="M364" s="821">
        <f>IF((M358=1),Thermostat!$B$3,Thermostat!$B$4)</f>
        <v>70</v>
      </c>
      <c r="N364" s="821">
        <f>IF((N358=1),Thermostat!$B$3,Thermostat!$B$4)</f>
        <v>70</v>
      </c>
      <c r="O364" s="821">
        <f>IF((O358=1),Thermostat!$B$3,Thermostat!$B$4)</f>
        <v>70</v>
      </c>
      <c r="P364" s="821">
        <f>IF((P358=1),Thermostat!$B$3,Thermostat!$B$4)</f>
        <v>70</v>
      </c>
      <c r="Q364" s="821">
        <f>IF((Q358=1),Thermostat!$B$3,Thermostat!$B$4)</f>
        <v>70</v>
      </c>
      <c r="R364" s="821">
        <f>IF((R358=1),Thermostat!$B$3,Thermostat!$B$4)</f>
        <v>70</v>
      </c>
      <c r="S364" s="821">
        <f>IF((S358=1),Thermostat!$B$3,Thermostat!$B$4)</f>
        <v>70</v>
      </c>
      <c r="T364" s="821">
        <f>IF((T358=1),Thermostat!$B$3,Thermostat!$B$4)</f>
        <v>70</v>
      </c>
      <c r="U364" s="821">
        <f>IF((U358=1),Thermostat!$B$3,Thermostat!$B$4)</f>
        <v>70</v>
      </c>
      <c r="V364" s="821">
        <f>IF((V358=1),Thermostat!$B$3,Thermostat!$B$4)</f>
        <v>70</v>
      </c>
      <c r="W364" s="821">
        <f>IF((W358=1),Thermostat!$B$3,Thermostat!$B$4)</f>
        <v>70</v>
      </c>
      <c r="X364" s="821">
        <f>IF((X358=1),Thermostat!$B$3,Thermostat!$B$4)</f>
        <v>70</v>
      </c>
      <c r="Y364" s="821">
        <f>IF((Y358=1),Thermostat!$B$3,Thermostat!$B$4)</f>
        <v>60</v>
      </c>
      <c r="Z364" s="821">
        <f>IF((Z358=1),Thermostat!$B$3,Thermostat!$B$4)</f>
        <v>60</v>
      </c>
      <c r="AA364" s="821">
        <f>IF((AA358=1),Thermostat!$B$3,Thermostat!$B$4)</f>
        <v>60</v>
      </c>
      <c r="AB364" s="821">
        <f>IF((AB358=1),Thermostat!$B$3,Thermostat!$B$4)</f>
        <v>60</v>
      </c>
      <c r="AC364" s="575">
        <f>IF((AC358=1),Thermostat!$B$3,Thermostat!$B$4)</f>
        <v>60</v>
      </c>
      <c r="AD364" s="42"/>
      <c r="AE364" s="41"/>
      <c r="AF364" s="41"/>
      <c r="AG364" s="41"/>
      <c r="AH364" s="41"/>
      <c r="AI364" s="41"/>
      <c r="AJ364" s="41"/>
      <c r="AK364" s="41"/>
      <c r="AM364" s="52"/>
    </row>
    <row r="365" spans="1:39" ht="36" hidden="1" customHeight="1" thickBot="1">
      <c r="A365" s="1141"/>
      <c r="B365" s="1100"/>
      <c r="C365" s="1100"/>
      <c r="D365" s="1152"/>
      <c r="E365" s="573" t="s">
        <v>526</v>
      </c>
      <c r="F365" s="829">
        <f>IF((F359=1),Thermostat!$B$3,Thermostat!$B$4)</f>
        <v>60</v>
      </c>
      <c r="G365" s="829">
        <f>IF((G359=1),Thermostat!$B$3,Thermostat!$B$4)</f>
        <v>60</v>
      </c>
      <c r="H365" s="829">
        <f>IF((H359=1),Thermostat!$B$3,Thermostat!$B$4)</f>
        <v>60</v>
      </c>
      <c r="I365" s="829">
        <f>IF((I359=1),Thermostat!$B$3,Thermostat!$B$4)</f>
        <v>60</v>
      </c>
      <c r="J365" s="829">
        <f>IF((J359=1),Thermostat!$B$3,Thermostat!$B$4)</f>
        <v>60</v>
      </c>
      <c r="K365" s="829">
        <f>IF((K359=1),Thermostat!$B$3,Thermostat!$B$4)</f>
        <v>60</v>
      </c>
      <c r="L365" s="829">
        <f>IF((L359=1),Thermostat!$B$3,Thermostat!$B$4)</f>
        <v>60</v>
      </c>
      <c r="M365" s="829">
        <f>IF((M359=1),Thermostat!$B$3,Thermostat!$B$4)</f>
        <v>60</v>
      </c>
      <c r="N365" s="829">
        <f>IF((N359=1),Thermostat!$B$3,Thermostat!$B$4)</f>
        <v>60</v>
      </c>
      <c r="O365" s="829">
        <f>IF((O359=1),Thermostat!$B$3,Thermostat!$B$4)</f>
        <v>60</v>
      </c>
      <c r="P365" s="829">
        <f>IF((P359=1),Thermostat!$B$3,Thermostat!$B$4)</f>
        <v>60</v>
      </c>
      <c r="Q365" s="829">
        <f>IF((Q359=1),Thermostat!$B$3,Thermostat!$B$4)</f>
        <v>60</v>
      </c>
      <c r="R365" s="829">
        <f>IF((R359=1),Thermostat!$B$3,Thermostat!$B$4)</f>
        <v>60</v>
      </c>
      <c r="S365" s="829">
        <f>IF((S359=1),Thermostat!$B$3,Thermostat!$B$4)</f>
        <v>60</v>
      </c>
      <c r="T365" s="829">
        <f>IF((T359=1),Thermostat!$B$3,Thermostat!$B$4)</f>
        <v>60</v>
      </c>
      <c r="U365" s="829">
        <f>IF((U359=1),Thermostat!$B$3,Thermostat!$B$4)</f>
        <v>60</v>
      </c>
      <c r="V365" s="829">
        <f>IF((V359=1),Thermostat!$B$3,Thermostat!$B$4)</f>
        <v>60</v>
      </c>
      <c r="W365" s="829">
        <f>IF((W359=1),Thermostat!$B$3,Thermostat!$B$4)</f>
        <v>60</v>
      </c>
      <c r="X365" s="829">
        <f>IF((X359=1),Thermostat!$B$3,Thermostat!$B$4)</f>
        <v>60</v>
      </c>
      <c r="Y365" s="829">
        <f>IF((Y359=1),Thermostat!$B$3,Thermostat!$B$4)</f>
        <v>60</v>
      </c>
      <c r="Z365" s="829">
        <f>IF((Z359=1),Thermostat!$B$3,Thermostat!$B$4)</f>
        <v>60</v>
      </c>
      <c r="AA365" s="829">
        <f>IF((AA359=1),Thermostat!$B$3,Thermostat!$B$4)</f>
        <v>60</v>
      </c>
      <c r="AB365" s="829">
        <f>IF((AB359=1),Thermostat!$B$3,Thermostat!$B$4)</f>
        <v>60</v>
      </c>
      <c r="AC365" s="576">
        <f>IF((AC359=1),Thermostat!$B$3,Thermostat!$B$4)</f>
        <v>60</v>
      </c>
      <c r="AD365" s="42"/>
      <c r="AE365" s="41"/>
      <c r="AF365" s="41"/>
      <c r="AG365" s="41"/>
      <c r="AH365" s="41"/>
      <c r="AI365" s="41"/>
      <c r="AJ365" s="41"/>
      <c r="AK365" s="41"/>
      <c r="AM365" s="52"/>
    </row>
    <row r="366" spans="1:39" ht="36" hidden="1" customHeight="1">
      <c r="A366" s="1139" t="s">
        <v>132</v>
      </c>
      <c r="B366" s="1099" t="s">
        <v>783</v>
      </c>
      <c r="C366" s="1099" t="s">
        <v>716</v>
      </c>
      <c r="D366" s="1181" t="s">
        <v>785</v>
      </c>
      <c r="E366" s="571" t="s">
        <v>517</v>
      </c>
      <c r="F366" s="822">
        <f>IF((F357=1),Thermostat!$B$5,Thermostat!$B$6)</f>
        <v>85</v>
      </c>
      <c r="G366" s="822">
        <f>IF((G357=1),Thermostat!$B$5,Thermostat!$B$6)</f>
        <v>85</v>
      </c>
      <c r="H366" s="822">
        <f>IF((H357=1),Thermostat!$B$5,Thermostat!$B$6)</f>
        <v>85</v>
      </c>
      <c r="I366" s="822">
        <f>IF((I357=1),Thermostat!$B$5,Thermostat!$B$6)</f>
        <v>85</v>
      </c>
      <c r="J366" s="822">
        <f>IF((J357=1),Thermostat!$B$5,Thermostat!$B$6)</f>
        <v>85</v>
      </c>
      <c r="K366" s="822">
        <f>IF((K357=1),Thermostat!$B$5,Thermostat!$B$6)</f>
        <v>85</v>
      </c>
      <c r="L366" s="822">
        <f>IF((L357=1),Thermostat!$B$5,Thermostat!$B$6)</f>
        <v>85</v>
      </c>
      <c r="M366" s="822">
        <f>IF((M357=1),Thermostat!$B$5,Thermostat!$B$6)</f>
        <v>75</v>
      </c>
      <c r="N366" s="822">
        <f>IF((N357=1),Thermostat!$B$5,Thermostat!$B$6)</f>
        <v>75</v>
      </c>
      <c r="O366" s="822">
        <f>IF((O357=1),Thermostat!$B$5,Thermostat!$B$6)</f>
        <v>75</v>
      </c>
      <c r="P366" s="822">
        <f>IF((P357=1),Thermostat!$B$5,Thermostat!$B$6)</f>
        <v>75</v>
      </c>
      <c r="Q366" s="822">
        <f>IF((Q357=1),Thermostat!$B$5,Thermostat!$B$6)</f>
        <v>75</v>
      </c>
      <c r="R366" s="822">
        <f>IF((R357=1),Thermostat!$B$5,Thermostat!$B$6)</f>
        <v>75</v>
      </c>
      <c r="S366" s="822">
        <f>IF((S357=1),Thermostat!$B$5,Thermostat!$B$6)</f>
        <v>75</v>
      </c>
      <c r="T366" s="822">
        <f>IF((T357=1),Thermostat!$B$5,Thermostat!$B$6)</f>
        <v>75</v>
      </c>
      <c r="U366" s="822">
        <f>IF((U357=1),Thermostat!$B$5,Thermostat!$B$6)</f>
        <v>75</v>
      </c>
      <c r="V366" s="822">
        <f>IF((V357=1),Thermostat!$B$5,Thermostat!$B$6)</f>
        <v>75</v>
      </c>
      <c r="W366" s="822">
        <f>IF((W357=1),Thermostat!$B$5,Thermostat!$B$6)</f>
        <v>75</v>
      </c>
      <c r="X366" s="822">
        <f>IF((X357=1),Thermostat!$B$5,Thermostat!$B$6)</f>
        <v>75</v>
      </c>
      <c r="Y366" s="822">
        <f>IF((Y357=1),Thermostat!$B$5,Thermostat!$B$6)</f>
        <v>75</v>
      </c>
      <c r="Z366" s="822">
        <f>IF((Z357=1),Thermostat!$B$5,Thermostat!$B$6)</f>
        <v>75</v>
      </c>
      <c r="AA366" s="822">
        <f>IF((AA357=1),Thermostat!$B$5,Thermostat!$B$6)</f>
        <v>75</v>
      </c>
      <c r="AB366" s="822">
        <f>IF((AB357=1),Thermostat!$B$5,Thermostat!$B$6)</f>
        <v>75</v>
      </c>
      <c r="AC366" s="574">
        <f>IF((AC357=1),Thermostat!$B$5,Thermostat!$B$6)</f>
        <v>85</v>
      </c>
      <c r="AD366" s="42"/>
      <c r="AE366" s="41"/>
      <c r="AF366" s="41"/>
      <c r="AG366" s="41"/>
      <c r="AH366" s="41"/>
      <c r="AI366" s="41"/>
      <c r="AJ366" s="41"/>
      <c r="AK366" s="41"/>
      <c r="AM366" s="52"/>
    </row>
    <row r="367" spans="1:39" ht="36" hidden="1" customHeight="1">
      <c r="A367" s="1140"/>
      <c r="B367" s="1090"/>
      <c r="C367" s="1090"/>
      <c r="D367" s="1007"/>
      <c r="E367" s="572" t="s">
        <v>524</v>
      </c>
      <c r="F367" s="821">
        <f>IF((F358=1),Thermostat!$B$5,Thermostat!$B$6)</f>
        <v>85</v>
      </c>
      <c r="G367" s="821">
        <f>IF((G358=1),Thermostat!$B$5,Thermostat!$B$6)</f>
        <v>85</v>
      </c>
      <c r="H367" s="821">
        <f>IF((H358=1),Thermostat!$B$5,Thermostat!$B$6)</f>
        <v>85</v>
      </c>
      <c r="I367" s="821">
        <f>IF((I358=1),Thermostat!$B$5,Thermostat!$B$6)</f>
        <v>85</v>
      </c>
      <c r="J367" s="821">
        <f>IF((J358=1),Thermostat!$B$5,Thermostat!$B$6)</f>
        <v>85</v>
      </c>
      <c r="K367" s="821">
        <f>IF((K358=1),Thermostat!$B$5,Thermostat!$B$6)</f>
        <v>85</v>
      </c>
      <c r="L367" s="821">
        <f>IF((L358=1),Thermostat!$B$5,Thermostat!$B$6)</f>
        <v>85</v>
      </c>
      <c r="M367" s="821">
        <f>IF((M358=1),Thermostat!$B$5,Thermostat!$B$6)</f>
        <v>75</v>
      </c>
      <c r="N367" s="821">
        <f>IF((N358=1),Thermostat!$B$5,Thermostat!$B$6)</f>
        <v>75</v>
      </c>
      <c r="O367" s="821">
        <f>IF((O358=1),Thermostat!$B$5,Thermostat!$B$6)</f>
        <v>75</v>
      </c>
      <c r="P367" s="821">
        <f>IF((P358=1),Thermostat!$B$5,Thermostat!$B$6)</f>
        <v>75</v>
      </c>
      <c r="Q367" s="821">
        <f>IF((Q358=1),Thermostat!$B$5,Thermostat!$B$6)</f>
        <v>75</v>
      </c>
      <c r="R367" s="821">
        <f>IF((R358=1),Thermostat!$B$5,Thermostat!$B$6)</f>
        <v>75</v>
      </c>
      <c r="S367" s="821">
        <f>IF((S358=1),Thermostat!$B$5,Thermostat!$B$6)</f>
        <v>75</v>
      </c>
      <c r="T367" s="821">
        <f>IF((T358=1),Thermostat!$B$5,Thermostat!$B$6)</f>
        <v>75</v>
      </c>
      <c r="U367" s="821">
        <f>IF((U358=1),Thermostat!$B$5,Thermostat!$B$6)</f>
        <v>75</v>
      </c>
      <c r="V367" s="821">
        <f>IF((V358=1),Thermostat!$B$5,Thermostat!$B$6)</f>
        <v>75</v>
      </c>
      <c r="W367" s="821">
        <f>IF((W358=1),Thermostat!$B$5,Thermostat!$B$6)</f>
        <v>75</v>
      </c>
      <c r="X367" s="821">
        <f>IF((X358=1),Thermostat!$B$5,Thermostat!$B$6)</f>
        <v>75</v>
      </c>
      <c r="Y367" s="821">
        <f>IF((Y358=1),Thermostat!$B$5,Thermostat!$B$6)</f>
        <v>85</v>
      </c>
      <c r="Z367" s="821">
        <f>IF((Z358=1),Thermostat!$B$5,Thermostat!$B$6)</f>
        <v>85</v>
      </c>
      <c r="AA367" s="821">
        <f>IF((AA358=1),Thermostat!$B$5,Thermostat!$B$6)</f>
        <v>85</v>
      </c>
      <c r="AB367" s="821">
        <f>IF((AB358=1),Thermostat!$B$5,Thermostat!$B$6)</f>
        <v>85</v>
      </c>
      <c r="AC367" s="575">
        <f>IF((AC358=1),Thermostat!$B$5,Thermostat!$B$6)</f>
        <v>85</v>
      </c>
      <c r="AD367" s="42"/>
      <c r="AE367" s="41"/>
      <c r="AF367" s="41"/>
      <c r="AG367" s="41"/>
      <c r="AH367" s="41"/>
      <c r="AI367" s="41"/>
      <c r="AJ367" s="41"/>
      <c r="AK367" s="41"/>
      <c r="AM367" s="52"/>
    </row>
    <row r="368" spans="1:39" ht="36" hidden="1" customHeight="1" thickBot="1">
      <c r="A368" s="1141"/>
      <c r="B368" s="1100"/>
      <c r="C368" s="1100"/>
      <c r="D368" s="1152"/>
      <c r="E368" s="573" t="s">
        <v>526</v>
      </c>
      <c r="F368" s="829">
        <f>IF((F359=1),Thermostat!$B$5,Thermostat!$B$6)</f>
        <v>85</v>
      </c>
      <c r="G368" s="829">
        <f>IF((G359=1),Thermostat!$B$5,Thermostat!$B$6)</f>
        <v>85</v>
      </c>
      <c r="H368" s="829">
        <f>IF((H359=1),Thermostat!$B$5,Thermostat!$B$6)</f>
        <v>85</v>
      </c>
      <c r="I368" s="829">
        <f>IF((I359=1),Thermostat!$B$5,Thermostat!$B$6)</f>
        <v>85</v>
      </c>
      <c r="J368" s="829">
        <f>IF((J359=1),Thermostat!$B$5,Thermostat!$B$6)</f>
        <v>85</v>
      </c>
      <c r="K368" s="829">
        <f>IF((K359=1),Thermostat!$B$5,Thermostat!$B$6)</f>
        <v>85</v>
      </c>
      <c r="L368" s="829">
        <f>IF((L359=1),Thermostat!$B$5,Thermostat!$B$6)</f>
        <v>85</v>
      </c>
      <c r="M368" s="829">
        <f>IF((M359=1),Thermostat!$B$5,Thermostat!$B$6)</f>
        <v>85</v>
      </c>
      <c r="N368" s="829">
        <f>IF((N359=1),Thermostat!$B$5,Thermostat!$B$6)</f>
        <v>85</v>
      </c>
      <c r="O368" s="829">
        <f>IF((O359=1),Thermostat!$B$5,Thermostat!$B$6)</f>
        <v>85</v>
      </c>
      <c r="P368" s="829">
        <f>IF((P359=1),Thermostat!$B$5,Thermostat!$B$6)</f>
        <v>85</v>
      </c>
      <c r="Q368" s="829">
        <f>IF((Q359=1),Thermostat!$B$5,Thermostat!$B$6)</f>
        <v>85</v>
      </c>
      <c r="R368" s="829">
        <f>IF((R359=1),Thermostat!$B$5,Thermostat!$B$6)</f>
        <v>85</v>
      </c>
      <c r="S368" s="829">
        <f>IF((S359=1),Thermostat!$B$5,Thermostat!$B$6)</f>
        <v>85</v>
      </c>
      <c r="T368" s="829">
        <f>IF((T359=1),Thermostat!$B$5,Thermostat!$B$6)</f>
        <v>85</v>
      </c>
      <c r="U368" s="829">
        <f>IF((U359=1),Thermostat!$B$5,Thermostat!$B$6)</f>
        <v>85</v>
      </c>
      <c r="V368" s="829">
        <f>IF((V359=1),Thermostat!$B$5,Thermostat!$B$6)</f>
        <v>85</v>
      </c>
      <c r="W368" s="829">
        <f>IF((W359=1),Thermostat!$B$5,Thermostat!$B$6)</f>
        <v>85</v>
      </c>
      <c r="X368" s="829">
        <f>IF((X359=1),Thermostat!$B$5,Thermostat!$B$6)</f>
        <v>85</v>
      </c>
      <c r="Y368" s="829">
        <f>IF((Y359=1),Thermostat!$B$5,Thermostat!$B$6)</f>
        <v>85</v>
      </c>
      <c r="Z368" s="829">
        <f>IF((Z359=1),Thermostat!$B$5,Thermostat!$B$6)</f>
        <v>85</v>
      </c>
      <c r="AA368" s="829">
        <f>IF((AA359=1),Thermostat!$B$5,Thermostat!$B$6)</f>
        <v>85</v>
      </c>
      <c r="AB368" s="829">
        <f>IF((AB359=1),Thermostat!$B$5,Thermostat!$B$6)</f>
        <v>85</v>
      </c>
      <c r="AC368" s="576">
        <f>IF((AC359=1),Thermostat!$B$5,Thermostat!$B$6)</f>
        <v>85</v>
      </c>
      <c r="AD368" s="42"/>
      <c r="AE368" s="41"/>
      <c r="AF368" s="41"/>
      <c r="AG368" s="41"/>
      <c r="AH368" s="41"/>
      <c r="AI368" s="41"/>
      <c r="AJ368" s="41"/>
      <c r="AK368" s="41"/>
      <c r="AM368" s="52"/>
    </row>
    <row r="369" hidden="1"/>
    <row r="370" hidden="1"/>
  </sheetData>
  <mergeCells count="462">
    <mergeCell ref="A22:A24"/>
    <mergeCell ref="B22:B24"/>
    <mergeCell ref="C22:C24"/>
    <mergeCell ref="D22:D24"/>
    <mergeCell ref="A25:A27"/>
    <mergeCell ref="B25:B27"/>
    <mergeCell ref="C25:C27"/>
    <mergeCell ref="D25:D27"/>
    <mergeCell ref="A13:A15"/>
    <mergeCell ref="B13:B15"/>
    <mergeCell ref="C13:C15"/>
    <mergeCell ref="D13:D15"/>
    <mergeCell ref="A16:A18"/>
    <mergeCell ref="B16:B18"/>
    <mergeCell ref="C16:C18"/>
    <mergeCell ref="D16:D18"/>
    <mergeCell ref="A19:A21"/>
    <mergeCell ref="B19:B21"/>
    <mergeCell ref="C19:C21"/>
    <mergeCell ref="D19:D21"/>
    <mergeCell ref="A4:A6"/>
    <mergeCell ref="B4:B6"/>
    <mergeCell ref="C4:C6"/>
    <mergeCell ref="D4:D6"/>
    <mergeCell ref="A7:A9"/>
    <mergeCell ref="B7:B9"/>
    <mergeCell ref="C7:C9"/>
    <mergeCell ref="D7:D9"/>
    <mergeCell ref="A10:A12"/>
    <mergeCell ref="B10:B12"/>
    <mergeCell ref="C10:C12"/>
    <mergeCell ref="D10:D12"/>
    <mergeCell ref="D132:D134"/>
    <mergeCell ref="D135:D137"/>
    <mergeCell ref="D138:D140"/>
    <mergeCell ref="D141:D143"/>
    <mergeCell ref="D144:D146"/>
    <mergeCell ref="D147:D149"/>
    <mergeCell ref="C339:C341"/>
    <mergeCell ref="D339:D341"/>
    <mergeCell ref="A339:A341"/>
    <mergeCell ref="C304:C305"/>
    <mergeCell ref="D304:D305"/>
    <mergeCell ref="A304:A305"/>
    <mergeCell ref="C309:C311"/>
    <mergeCell ref="D309:D311"/>
    <mergeCell ref="A309:A311"/>
    <mergeCell ref="C312:C314"/>
    <mergeCell ref="D312:D314"/>
    <mergeCell ref="A312:A314"/>
    <mergeCell ref="C315:C317"/>
    <mergeCell ref="D315:D317"/>
    <mergeCell ref="A315:A317"/>
    <mergeCell ref="C318:C320"/>
    <mergeCell ref="D333:D335"/>
    <mergeCell ref="C336:C338"/>
    <mergeCell ref="C324:C326"/>
    <mergeCell ref="D324:D326"/>
    <mergeCell ref="F331:AC331"/>
    <mergeCell ref="F304:AC304"/>
    <mergeCell ref="E331:E332"/>
    <mergeCell ref="D321:D323"/>
    <mergeCell ref="A321:A323"/>
    <mergeCell ref="E304:E305"/>
    <mergeCell ref="C321:C323"/>
    <mergeCell ref="A318:A320"/>
    <mergeCell ref="A324:A326"/>
    <mergeCell ref="C306:C308"/>
    <mergeCell ref="D306:D308"/>
    <mergeCell ref="A306:A308"/>
    <mergeCell ref="D38:D40"/>
    <mergeCell ref="C41:C43"/>
    <mergeCell ref="D41:D43"/>
    <mergeCell ref="D69:D71"/>
    <mergeCell ref="C57:C59"/>
    <mergeCell ref="D57:D59"/>
    <mergeCell ref="C35:C37"/>
    <mergeCell ref="D72:D74"/>
    <mergeCell ref="C60:C62"/>
    <mergeCell ref="D60:D62"/>
    <mergeCell ref="C44:C46"/>
    <mergeCell ref="D44:D46"/>
    <mergeCell ref="C63:C65"/>
    <mergeCell ref="C72:C74"/>
    <mergeCell ref="D63:D65"/>
    <mergeCell ref="C2:C3"/>
    <mergeCell ref="D47:D49"/>
    <mergeCell ref="D32:D34"/>
    <mergeCell ref="F2:AC2"/>
    <mergeCell ref="E2:E3"/>
    <mergeCell ref="D2:D3"/>
    <mergeCell ref="D29:D31"/>
    <mergeCell ref="C47:C49"/>
    <mergeCell ref="D82:D84"/>
    <mergeCell ref="A28:AC28"/>
    <mergeCell ref="A29:A31"/>
    <mergeCell ref="A32:A34"/>
    <mergeCell ref="A35:A37"/>
    <mergeCell ref="A38:A40"/>
    <mergeCell ref="A41:A43"/>
    <mergeCell ref="A44:A46"/>
    <mergeCell ref="B38:B40"/>
    <mergeCell ref="B41:B43"/>
    <mergeCell ref="B44:B46"/>
    <mergeCell ref="C53:C55"/>
    <mergeCell ref="D53:D55"/>
    <mergeCell ref="D78:D80"/>
    <mergeCell ref="D35:D37"/>
    <mergeCell ref="C38:C40"/>
    <mergeCell ref="C360:C362"/>
    <mergeCell ref="D360:D362"/>
    <mergeCell ref="C69:C71"/>
    <mergeCell ref="C75:C77"/>
    <mergeCell ref="D75:D77"/>
    <mergeCell ref="C366:C368"/>
    <mergeCell ref="D366:D368"/>
    <mergeCell ref="C29:C31"/>
    <mergeCell ref="C32:C34"/>
    <mergeCell ref="C348:C350"/>
    <mergeCell ref="C78:C80"/>
    <mergeCell ref="C103:C105"/>
    <mergeCell ref="C82:C84"/>
    <mergeCell ref="C94:C96"/>
    <mergeCell ref="C97:C99"/>
    <mergeCell ref="C91:C93"/>
    <mergeCell ref="C85:C87"/>
    <mergeCell ref="C88:C90"/>
    <mergeCell ref="C100:C102"/>
    <mergeCell ref="C357:C359"/>
    <mergeCell ref="D357:D359"/>
    <mergeCell ref="C363:C365"/>
    <mergeCell ref="D363:D365"/>
    <mergeCell ref="D50:D52"/>
    <mergeCell ref="C351:C353"/>
    <mergeCell ref="D351:D353"/>
    <mergeCell ref="C354:C356"/>
    <mergeCell ref="D354:D356"/>
    <mergeCell ref="D100:D102"/>
    <mergeCell ref="D103:D105"/>
    <mergeCell ref="D88:D90"/>
    <mergeCell ref="D91:D93"/>
    <mergeCell ref="D94:D96"/>
    <mergeCell ref="D97:D99"/>
    <mergeCell ref="D122:D124"/>
    <mergeCell ref="A193:AC193"/>
    <mergeCell ref="A194:A196"/>
    <mergeCell ref="B194:B196"/>
    <mergeCell ref="C194:C196"/>
    <mergeCell ref="D194:D196"/>
    <mergeCell ref="A197:A199"/>
    <mergeCell ref="A125:A127"/>
    <mergeCell ref="B125:B127"/>
    <mergeCell ref="C125:C127"/>
    <mergeCell ref="A128:A130"/>
    <mergeCell ref="B128:B130"/>
    <mergeCell ref="C128:C130"/>
    <mergeCell ref="A122:A124"/>
    <mergeCell ref="B60:B62"/>
    <mergeCell ref="B63:B65"/>
    <mergeCell ref="A56:AC56"/>
    <mergeCell ref="A91:A93"/>
    <mergeCell ref="B97:B99"/>
    <mergeCell ref="B100:B102"/>
    <mergeCell ref="B103:B105"/>
    <mergeCell ref="B88:B90"/>
    <mergeCell ref="D348:D350"/>
    <mergeCell ref="B116:B118"/>
    <mergeCell ref="B203:B205"/>
    <mergeCell ref="B122:B124"/>
    <mergeCell ref="C122:C124"/>
    <mergeCell ref="C333:C335"/>
    <mergeCell ref="A333:A335"/>
    <mergeCell ref="D336:D338"/>
    <mergeCell ref="A336:A338"/>
    <mergeCell ref="C331:C332"/>
    <mergeCell ref="D331:D332"/>
    <mergeCell ref="A331:A332"/>
    <mergeCell ref="C327:C329"/>
    <mergeCell ref="D327:D329"/>
    <mergeCell ref="A327:A329"/>
    <mergeCell ref="D318:D320"/>
    <mergeCell ref="A94:A96"/>
    <mergeCell ref="B85:B87"/>
    <mergeCell ref="A2:A3"/>
    <mergeCell ref="A348:A350"/>
    <mergeCell ref="A351:A353"/>
    <mergeCell ref="A354:A356"/>
    <mergeCell ref="A357:A359"/>
    <mergeCell ref="A360:A362"/>
    <mergeCell ref="A363:A365"/>
    <mergeCell ref="B94:B96"/>
    <mergeCell ref="A97:A99"/>
    <mergeCell ref="A100:A102"/>
    <mergeCell ref="A103:A105"/>
    <mergeCell ref="A106:AC106"/>
    <mergeCell ref="D125:D127"/>
    <mergeCell ref="D128:D130"/>
    <mergeCell ref="D107:D109"/>
    <mergeCell ref="D110:D112"/>
    <mergeCell ref="D113:D115"/>
    <mergeCell ref="C116:C118"/>
    <mergeCell ref="C119:C121"/>
    <mergeCell ref="D116:D118"/>
    <mergeCell ref="D119:D121"/>
    <mergeCell ref="A116:A118"/>
    <mergeCell ref="A366:A368"/>
    <mergeCell ref="A219:A221"/>
    <mergeCell ref="A131:AC131"/>
    <mergeCell ref="B153:B155"/>
    <mergeCell ref="C153:C155"/>
    <mergeCell ref="D153:D155"/>
    <mergeCell ref="A156:AC156"/>
    <mergeCell ref="B2:B3"/>
    <mergeCell ref="A47:A49"/>
    <mergeCell ref="A50:A52"/>
    <mergeCell ref="B366:B368"/>
    <mergeCell ref="B219:B221"/>
    <mergeCell ref="B29:B31"/>
    <mergeCell ref="B32:B34"/>
    <mergeCell ref="B35:B37"/>
    <mergeCell ref="A218:AC218"/>
    <mergeCell ref="B132:B134"/>
    <mergeCell ref="B348:B350"/>
    <mergeCell ref="B351:B353"/>
    <mergeCell ref="B354:B356"/>
    <mergeCell ref="B357:B359"/>
    <mergeCell ref="B360:B362"/>
    <mergeCell ref="B363:B365"/>
    <mergeCell ref="B91:B93"/>
    <mergeCell ref="A1:AC1"/>
    <mergeCell ref="A88:A90"/>
    <mergeCell ref="A69:A71"/>
    <mergeCell ref="A72:A74"/>
    <mergeCell ref="A75:A77"/>
    <mergeCell ref="A78:A80"/>
    <mergeCell ref="B69:B71"/>
    <mergeCell ref="B72:B74"/>
    <mergeCell ref="B75:B77"/>
    <mergeCell ref="B78:B80"/>
    <mergeCell ref="A57:A59"/>
    <mergeCell ref="A60:A62"/>
    <mergeCell ref="A63:A65"/>
    <mergeCell ref="A82:A84"/>
    <mergeCell ref="A85:A87"/>
    <mergeCell ref="A81:AC81"/>
    <mergeCell ref="A53:A55"/>
    <mergeCell ref="B82:B84"/>
    <mergeCell ref="C50:C52"/>
    <mergeCell ref="D85:D87"/>
    <mergeCell ref="B47:B49"/>
    <mergeCell ref="B50:B52"/>
    <mergeCell ref="B53:B55"/>
    <mergeCell ref="B57:B59"/>
    <mergeCell ref="A119:A121"/>
    <mergeCell ref="B119:B121"/>
    <mergeCell ref="A107:A109"/>
    <mergeCell ref="B107:B109"/>
    <mergeCell ref="C107:C109"/>
    <mergeCell ref="A110:A112"/>
    <mergeCell ref="B110:B112"/>
    <mergeCell ref="C110:C112"/>
    <mergeCell ref="A113:A115"/>
    <mergeCell ref="B113:B115"/>
    <mergeCell ref="C113:C115"/>
    <mergeCell ref="A132:A134"/>
    <mergeCell ref="A135:A137"/>
    <mergeCell ref="A138:A140"/>
    <mergeCell ref="A141:A143"/>
    <mergeCell ref="A144:A146"/>
    <mergeCell ref="C132:C134"/>
    <mergeCell ref="B135:B137"/>
    <mergeCell ref="C135:C137"/>
    <mergeCell ref="B138:B140"/>
    <mergeCell ref="C138:C140"/>
    <mergeCell ref="B141:B143"/>
    <mergeCell ref="C141:C143"/>
    <mergeCell ref="B144:B146"/>
    <mergeCell ref="C144:C146"/>
    <mergeCell ref="A147:A149"/>
    <mergeCell ref="A153:A155"/>
    <mergeCell ref="A157:A159"/>
    <mergeCell ref="B157:B159"/>
    <mergeCell ref="C157:C159"/>
    <mergeCell ref="D157:D159"/>
    <mergeCell ref="A150:A152"/>
    <mergeCell ref="B150:B152"/>
    <mergeCell ref="C150:C152"/>
    <mergeCell ref="D150:D152"/>
    <mergeCell ref="B147:B149"/>
    <mergeCell ref="C147:C149"/>
    <mergeCell ref="A160:A162"/>
    <mergeCell ref="B160:B162"/>
    <mergeCell ref="C160:C162"/>
    <mergeCell ref="D160:D162"/>
    <mergeCell ref="A163:A165"/>
    <mergeCell ref="B163:B165"/>
    <mergeCell ref="C163:C165"/>
    <mergeCell ref="D163:D165"/>
    <mergeCell ref="A166:A168"/>
    <mergeCell ref="B166:B168"/>
    <mergeCell ref="C166:C168"/>
    <mergeCell ref="D166:D168"/>
    <mergeCell ref="A169:A171"/>
    <mergeCell ref="B169:B171"/>
    <mergeCell ref="C169:C171"/>
    <mergeCell ref="D169:D171"/>
    <mergeCell ref="A172:A174"/>
    <mergeCell ref="B172:B174"/>
    <mergeCell ref="C172:C174"/>
    <mergeCell ref="D172:D174"/>
    <mergeCell ref="A175:A177"/>
    <mergeCell ref="B175:B177"/>
    <mergeCell ref="C175:C177"/>
    <mergeCell ref="D175:D177"/>
    <mergeCell ref="A178:A180"/>
    <mergeCell ref="B178:B180"/>
    <mergeCell ref="C178:C180"/>
    <mergeCell ref="D178:D180"/>
    <mergeCell ref="A181:A183"/>
    <mergeCell ref="B181:B183"/>
    <mergeCell ref="C181:C183"/>
    <mergeCell ref="D181:D183"/>
    <mergeCell ref="A184:A186"/>
    <mergeCell ref="B184:B186"/>
    <mergeCell ref="C184:C186"/>
    <mergeCell ref="D184:D186"/>
    <mergeCell ref="A187:A189"/>
    <mergeCell ref="B187:B189"/>
    <mergeCell ref="C187:C189"/>
    <mergeCell ref="D187:D189"/>
    <mergeCell ref="A190:A192"/>
    <mergeCell ref="B190:B192"/>
    <mergeCell ref="C190:C192"/>
    <mergeCell ref="D190:D192"/>
    <mergeCell ref="A228:A230"/>
    <mergeCell ref="B228:B230"/>
    <mergeCell ref="C228:C230"/>
    <mergeCell ref="D228:D230"/>
    <mergeCell ref="A222:A224"/>
    <mergeCell ref="B222:B224"/>
    <mergeCell ref="C222:C224"/>
    <mergeCell ref="D222:D224"/>
    <mergeCell ref="A225:A227"/>
    <mergeCell ref="B225:B227"/>
    <mergeCell ref="C225:C227"/>
    <mergeCell ref="A200:A202"/>
    <mergeCell ref="B200:B202"/>
    <mergeCell ref="C200:C202"/>
    <mergeCell ref="D200:D202"/>
    <mergeCell ref="A203:A205"/>
    <mergeCell ref="A231:A233"/>
    <mergeCell ref="B231:B233"/>
    <mergeCell ref="C231:C233"/>
    <mergeCell ref="D231:D233"/>
    <mergeCell ref="D225:D227"/>
    <mergeCell ref="C203:C205"/>
    <mergeCell ref="A212:A214"/>
    <mergeCell ref="B212:B214"/>
    <mergeCell ref="C212:C214"/>
    <mergeCell ref="C219:C221"/>
    <mergeCell ref="D219:D221"/>
    <mergeCell ref="D203:D205"/>
    <mergeCell ref="A206:A208"/>
    <mergeCell ref="B206:B208"/>
    <mergeCell ref="C206:C208"/>
    <mergeCell ref="D206:D208"/>
    <mergeCell ref="A209:A211"/>
    <mergeCell ref="B209:B211"/>
    <mergeCell ref="C209:C211"/>
    <mergeCell ref="D209:D211"/>
    <mergeCell ref="D212:D214"/>
    <mergeCell ref="A215:A217"/>
    <mergeCell ref="B215:B217"/>
    <mergeCell ref="B197:B199"/>
    <mergeCell ref="C197:C199"/>
    <mergeCell ref="D197:D199"/>
    <mergeCell ref="C215:C217"/>
    <mergeCell ref="D215:D217"/>
    <mergeCell ref="A256:A258"/>
    <mergeCell ref="B256:B258"/>
    <mergeCell ref="C256:C258"/>
    <mergeCell ref="D256:D258"/>
    <mergeCell ref="A252:A254"/>
    <mergeCell ref="B252:B254"/>
    <mergeCell ref="C252:C254"/>
    <mergeCell ref="D252:D254"/>
    <mergeCell ref="A240:A242"/>
    <mergeCell ref="B240:B242"/>
    <mergeCell ref="C240:C242"/>
    <mergeCell ref="D240:D242"/>
    <mergeCell ref="A243:A245"/>
    <mergeCell ref="B243:B245"/>
    <mergeCell ref="C243:C245"/>
    <mergeCell ref="D243:D245"/>
    <mergeCell ref="A234:A236"/>
    <mergeCell ref="B234:B236"/>
    <mergeCell ref="C234:C236"/>
    <mergeCell ref="D234:D236"/>
    <mergeCell ref="A237:A239"/>
    <mergeCell ref="B237:B239"/>
    <mergeCell ref="C237:C239"/>
    <mergeCell ref="D237:D239"/>
    <mergeCell ref="A265:A267"/>
    <mergeCell ref="B265:B267"/>
    <mergeCell ref="C265:C267"/>
    <mergeCell ref="D265:D267"/>
    <mergeCell ref="A259:A261"/>
    <mergeCell ref="B259:B261"/>
    <mergeCell ref="C259:C261"/>
    <mergeCell ref="D259:D261"/>
    <mergeCell ref="A262:A264"/>
    <mergeCell ref="B262:B264"/>
    <mergeCell ref="C262:C264"/>
    <mergeCell ref="D262:D264"/>
    <mergeCell ref="A271:A273"/>
    <mergeCell ref="B271:B273"/>
    <mergeCell ref="C271:C273"/>
    <mergeCell ref="D271:D273"/>
    <mergeCell ref="A277:A279"/>
    <mergeCell ref="B277:B279"/>
    <mergeCell ref="C277:C279"/>
    <mergeCell ref="D277:D279"/>
    <mergeCell ref="A268:A270"/>
    <mergeCell ref="B268:B270"/>
    <mergeCell ref="C268:C270"/>
    <mergeCell ref="D268:D270"/>
    <mergeCell ref="A280:A282"/>
    <mergeCell ref="B280:B282"/>
    <mergeCell ref="C280:C282"/>
    <mergeCell ref="D280:D282"/>
    <mergeCell ref="A283:A285"/>
    <mergeCell ref="B283:B285"/>
    <mergeCell ref="C283:C285"/>
    <mergeCell ref="D283:D285"/>
    <mergeCell ref="D274:D276"/>
    <mergeCell ref="C274:C276"/>
    <mergeCell ref="B274:B276"/>
    <mergeCell ref="A274:A276"/>
    <mergeCell ref="A66:A68"/>
    <mergeCell ref="B66:B68"/>
    <mergeCell ref="C66:C68"/>
    <mergeCell ref="D66:D68"/>
    <mergeCell ref="A298:A300"/>
    <mergeCell ref="B298:B300"/>
    <mergeCell ref="C298:C300"/>
    <mergeCell ref="D298:D300"/>
    <mergeCell ref="A286:A288"/>
    <mergeCell ref="B286:B288"/>
    <mergeCell ref="C286:C288"/>
    <mergeCell ref="D286:D288"/>
    <mergeCell ref="A289:A291"/>
    <mergeCell ref="B289:B291"/>
    <mergeCell ref="C289:C291"/>
    <mergeCell ref="D289:D291"/>
    <mergeCell ref="D292:D294"/>
    <mergeCell ref="C292:C294"/>
    <mergeCell ref="B292:B294"/>
    <mergeCell ref="A292:A294"/>
    <mergeCell ref="A295:A297"/>
    <mergeCell ref="B295:B297"/>
    <mergeCell ref="C295:C297"/>
    <mergeCell ref="D295:D297"/>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D9D48C-EFB6-440B-BE4F-FD4465FADBA0}">
  <sheetPr codeName="Sheet20"/>
  <dimension ref="A1:X40"/>
  <sheetViews>
    <sheetView zoomScale="80" zoomScaleNormal="80" workbookViewId="0"/>
  </sheetViews>
  <sheetFormatPr defaultColWidth="8.7109375" defaultRowHeight="13.15"/>
  <cols>
    <col min="1" max="1" width="14.28515625" style="10" customWidth="1"/>
    <col min="2" max="2" width="9.7109375" style="10" customWidth="1"/>
    <col min="3" max="3" width="19.7109375" style="10" customWidth="1"/>
    <col min="4" max="4" width="15.28515625" style="10" customWidth="1"/>
    <col min="5" max="5" width="18.5703125" style="10" customWidth="1"/>
    <col min="6" max="6" width="19.28515625" style="10" customWidth="1"/>
    <col min="7" max="7" width="16.28515625" style="10" customWidth="1"/>
    <col min="8" max="8" width="17.140625" style="10" customWidth="1"/>
    <col min="9" max="9" width="11.28515625" style="10" customWidth="1"/>
    <col min="10" max="11" width="24.140625" style="10" customWidth="1"/>
    <col min="12" max="12" width="24.140625" style="10" hidden="1" customWidth="1"/>
    <col min="13" max="13" width="17.28515625" style="10" bestFit="1" customWidth="1"/>
    <col min="14" max="14" width="9.7109375" style="10" customWidth="1"/>
    <col min="15" max="15" width="17.7109375" style="10" customWidth="1"/>
    <col min="16" max="16" width="12.7109375" style="10" customWidth="1"/>
    <col min="17" max="17" width="14.42578125" style="10" customWidth="1"/>
    <col min="18" max="18" width="15.42578125" style="10" customWidth="1"/>
    <col min="19" max="19" width="19.28515625" style="10" customWidth="1"/>
    <col min="20" max="21" width="18.28515625" style="10" customWidth="1"/>
    <col min="22" max="22" width="23.7109375" style="10" customWidth="1"/>
    <col min="23" max="25" width="13.7109375" style="10" customWidth="1"/>
    <col min="26" max="26" width="10.7109375" style="10" customWidth="1"/>
    <col min="27" max="28" width="8.7109375" style="10"/>
    <col min="29" max="29" width="13.7109375" style="10" customWidth="1"/>
    <col min="30" max="32" width="8.7109375" style="10"/>
    <col min="33" max="33" width="12.42578125" style="10" customWidth="1"/>
    <col min="34" max="16384" width="8.7109375" style="10"/>
  </cols>
  <sheetData>
    <row r="1" spans="1:24" ht="24.75" customHeight="1">
      <c r="A1" s="1201" t="s">
        <v>786</v>
      </c>
      <c r="B1" s="1201"/>
      <c r="C1" s="1201"/>
      <c r="D1" s="1201"/>
      <c r="E1" s="1201"/>
      <c r="F1" s="1201"/>
      <c r="G1" s="1201"/>
      <c r="H1" s="1201"/>
      <c r="I1" s="1201"/>
      <c r="J1" s="1201"/>
      <c r="K1" s="1201"/>
      <c r="L1" s="1201"/>
      <c r="M1" s="1201"/>
      <c r="O1" s="864" t="s">
        <v>787</v>
      </c>
      <c r="P1" s="864"/>
      <c r="Q1" s="864"/>
      <c r="R1" s="864"/>
      <c r="S1" s="864"/>
      <c r="T1" s="864"/>
      <c r="U1" s="864"/>
      <c r="V1" s="864"/>
      <c r="W1" s="864"/>
      <c r="X1" s="770"/>
    </row>
    <row r="2" spans="1:24" ht="44.45" customHeight="1">
      <c r="A2" s="817" t="s">
        <v>6</v>
      </c>
      <c r="B2" s="817" t="s">
        <v>788</v>
      </c>
      <c r="C2" s="817" t="s">
        <v>789</v>
      </c>
      <c r="D2" s="817" t="s">
        <v>790</v>
      </c>
      <c r="E2" s="817" t="s">
        <v>791</v>
      </c>
      <c r="F2" s="817" t="s">
        <v>792</v>
      </c>
      <c r="G2" s="817" t="s">
        <v>793</v>
      </c>
      <c r="H2" s="817" t="s">
        <v>794</v>
      </c>
      <c r="I2" s="764" t="s">
        <v>795</v>
      </c>
      <c r="J2" s="764" t="s">
        <v>796</v>
      </c>
      <c r="K2" s="764" t="s">
        <v>797</v>
      </c>
      <c r="L2" s="764" t="s">
        <v>798</v>
      </c>
      <c r="M2" s="764" t="s">
        <v>798</v>
      </c>
      <c r="N2" s="494"/>
      <c r="O2" s="835" t="s">
        <v>6</v>
      </c>
      <c r="P2" s="817" t="s">
        <v>788</v>
      </c>
      <c r="Q2" s="817" t="s">
        <v>799</v>
      </c>
      <c r="R2" s="817" t="s">
        <v>800</v>
      </c>
      <c r="S2" s="817" t="s">
        <v>801</v>
      </c>
      <c r="T2" s="766" t="s">
        <v>802</v>
      </c>
      <c r="U2" s="766" t="s">
        <v>796</v>
      </c>
      <c r="V2" s="766" t="s">
        <v>797</v>
      </c>
      <c r="W2" s="766" t="s">
        <v>803</v>
      </c>
      <c r="X2" s="124"/>
    </row>
    <row r="3" spans="1:24" ht="16.149999999999999" customHeight="1">
      <c r="A3" s="1200" t="s">
        <v>804</v>
      </c>
      <c r="B3" s="832">
        <v>1</v>
      </c>
      <c r="C3" s="765">
        <v>42.978200000000008</v>
      </c>
      <c r="D3" s="765">
        <v>51.870000000000005</v>
      </c>
      <c r="E3" s="765">
        <v>94.84820000000002</v>
      </c>
      <c r="F3" s="832">
        <v>37.06</v>
      </c>
      <c r="G3" s="832">
        <v>52.11</v>
      </c>
      <c r="H3" s="832">
        <v>89.17</v>
      </c>
      <c r="I3" s="832">
        <v>88.8</v>
      </c>
      <c r="J3" s="765">
        <f>(I3*1.25)</f>
        <v>111</v>
      </c>
      <c r="K3" s="765">
        <f>(I3*0.75)</f>
        <v>66.599999999999994</v>
      </c>
      <c r="L3" s="765">
        <f>J3-K3</f>
        <v>44.400000000000006</v>
      </c>
      <c r="M3" s="765">
        <f>J3-K3</f>
        <v>44.400000000000006</v>
      </c>
      <c r="N3" s="124"/>
      <c r="O3" s="1202" t="s">
        <v>434</v>
      </c>
      <c r="P3" s="771">
        <v>1</v>
      </c>
      <c r="Q3" s="767">
        <v>9588</v>
      </c>
      <c r="R3" s="832">
        <v>10.1</v>
      </c>
      <c r="S3" s="832">
        <v>6.4</v>
      </c>
      <c r="T3" s="832">
        <v>56.2</v>
      </c>
      <c r="U3" s="832">
        <v>70.3</v>
      </c>
      <c r="V3" s="832">
        <v>42.2</v>
      </c>
      <c r="W3" s="768">
        <v>28.1</v>
      </c>
      <c r="X3" s="769"/>
    </row>
    <row r="4" spans="1:24" ht="19.149999999999999" customHeight="1">
      <c r="A4" s="1200"/>
      <c r="B4" s="832">
        <v>2</v>
      </c>
      <c r="C4" s="765">
        <v>47.222699999999996</v>
      </c>
      <c r="D4" s="765">
        <v>46.572599999999994</v>
      </c>
      <c r="E4" s="765">
        <v>93.795299999999997</v>
      </c>
      <c r="F4" s="832">
        <v>40.340000000000003</v>
      </c>
      <c r="G4" s="832">
        <v>46.62</v>
      </c>
      <c r="H4" s="832">
        <v>86.960000000000008</v>
      </c>
      <c r="I4" s="832">
        <v>84.2</v>
      </c>
      <c r="J4" s="765">
        <f t="shared" ref="J4:J18" si="0">(I4*1.25)</f>
        <v>105.25</v>
      </c>
      <c r="K4" s="765">
        <f t="shared" ref="K4:K18" si="1">(I4*0.75)</f>
        <v>63.150000000000006</v>
      </c>
      <c r="L4" s="765">
        <f t="shared" ref="L4:L18" si="2">J4-K4</f>
        <v>42.099999999999994</v>
      </c>
      <c r="M4" s="765">
        <f t="shared" ref="M4:M18" si="3">J4-K4</f>
        <v>42.099999999999994</v>
      </c>
      <c r="O4" s="1203"/>
      <c r="P4" s="771">
        <v>2</v>
      </c>
      <c r="Q4" s="767">
        <v>42372</v>
      </c>
      <c r="R4" s="832">
        <v>9.1</v>
      </c>
      <c r="S4" s="832">
        <v>5.4</v>
      </c>
      <c r="T4" s="832">
        <v>49.6</v>
      </c>
      <c r="U4" s="832">
        <v>62</v>
      </c>
      <c r="V4" s="832">
        <v>37.200000000000003</v>
      </c>
      <c r="W4" s="768">
        <v>24.8</v>
      </c>
      <c r="X4" s="769"/>
    </row>
    <row r="5" spans="1:24" ht="19.149999999999999" customHeight="1">
      <c r="A5" s="1200"/>
      <c r="B5" s="832">
        <v>3</v>
      </c>
      <c r="C5" s="765">
        <v>45.349899999999998</v>
      </c>
      <c r="D5" s="765">
        <v>44.071300000000001</v>
      </c>
      <c r="E5" s="765">
        <v>89.421199999999999</v>
      </c>
      <c r="F5" s="832">
        <v>38.89</v>
      </c>
      <c r="G5" s="832">
        <v>43.33</v>
      </c>
      <c r="H5" s="832">
        <v>82.22</v>
      </c>
      <c r="I5" s="832">
        <v>82.2</v>
      </c>
      <c r="J5" s="765">
        <f t="shared" si="0"/>
        <v>102.75</v>
      </c>
      <c r="K5" s="765">
        <f t="shared" si="1"/>
        <v>61.650000000000006</v>
      </c>
      <c r="L5" s="765">
        <f t="shared" si="2"/>
        <v>41.099999999999994</v>
      </c>
      <c r="M5" s="765">
        <f t="shared" si="3"/>
        <v>41.099999999999994</v>
      </c>
      <c r="O5" s="1203"/>
      <c r="P5" s="771">
        <v>3</v>
      </c>
      <c r="Q5" s="767">
        <v>61013</v>
      </c>
      <c r="R5" s="832">
        <v>8.1</v>
      </c>
      <c r="S5" s="832">
        <v>8.4</v>
      </c>
      <c r="T5" s="832">
        <v>56</v>
      </c>
      <c r="U5" s="832">
        <v>70</v>
      </c>
      <c r="V5" s="832">
        <v>42</v>
      </c>
      <c r="W5" s="768">
        <v>28</v>
      </c>
      <c r="X5" s="769"/>
    </row>
    <row r="6" spans="1:24" ht="19.149999999999999" customHeight="1">
      <c r="A6" s="1200"/>
      <c r="B6" s="832">
        <v>4</v>
      </c>
      <c r="C6" s="765">
        <v>49.9437</v>
      </c>
      <c r="D6" s="765">
        <v>46.122699999999995</v>
      </c>
      <c r="E6" s="765">
        <v>96.066399999999987</v>
      </c>
      <c r="F6" s="832">
        <v>42.58</v>
      </c>
      <c r="G6" s="832">
        <v>45.52</v>
      </c>
      <c r="H6" s="832">
        <v>88.1</v>
      </c>
      <c r="I6" s="832">
        <v>86.2</v>
      </c>
      <c r="J6" s="765">
        <f t="shared" si="0"/>
        <v>107.75</v>
      </c>
      <c r="K6" s="765">
        <f t="shared" si="1"/>
        <v>64.650000000000006</v>
      </c>
      <c r="L6" s="765">
        <f t="shared" si="2"/>
        <v>43.099999999999994</v>
      </c>
      <c r="M6" s="765">
        <f t="shared" si="3"/>
        <v>43.099999999999994</v>
      </c>
      <c r="O6" s="1203"/>
      <c r="P6" s="771">
        <v>4</v>
      </c>
      <c r="Q6" s="767">
        <v>28798</v>
      </c>
      <c r="R6" s="832">
        <v>7.9</v>
      </c>
      <c r="S6" s="832">
        <v>7.8</v>
      </c>
      <c r="T6" s="832">
        <v>53.8</v>
      </c>
      <c r="U6" s="832">
        <v>67.3</v>
      </c>
      <c r="V6" s="832">
        <v>40.4</v>
      </c>
      <c r="W6" s="768">
        <v>26.9</v>
      </c>
      <c r="X6" s="769"/>
    </row>
    <row r="7" spans="1:24" ht="19.149999999999999" customHeight="1">
      <c r="A7" s="1200"/>
      <c r="B7" s="832">
        <v>5</v>
      </c>
      <c r="C7" s="765">
        <v>45.984200000000001</v>
      </c>
      <c r="D7" s="765">
        <v>43.167000000000009</v>
      </c>
      <c r="E7" s="765">
        <v>89.151200000000017</v>
      </c>
      <c r="F7" s="832">
        <v>39.26</v>
      </c>
      <c r="G7" s="832">
        <v>43.25</v>
      </c>
      <c r="H7" s="832">
        <v>82.509999999999991</v>
      </c>
      <c r="I7" s="832">
        <v>81.3</v>
      </c>
      <c r="J7" s="765">
        <f t="shared" si="0"/>
        <v>101.625</v>
      </c>
      <c r="K7" s="765">
        <f t="shared" si="1"/>
        <v>60.974999999999994</v>
      </c>
      <c r="L7" s="765">
        <f t="shared" si="2"/>
        <v>40.650000000000006</v>
      </c>
      <c r="M7" s="765">
        <f t="shared" si="3"/>
        <v>40.650000000000006</v>
      </c>
      <c r="O7" s="1203"/>
      <c r="P7" s="771">
        <v>5</v>
      </c>
      <c r="Q7" s="767">
        <v>9409</v>
      </c>
      <c r="R7" s="832">
        <v>7.9</v>
      </c>
      <c r="S7" s="832">
        <v>11.9</v>
      </c>
      <c r="T7" s="832">
        <v>67.599999999999994</v>
      </c>
      <c r="U7" s="832">
        <v>84.4</v>
      </c>
      <c r="V7" s="832">
        <v>50.7</v>
      </c>
      <c r="W7" s="768">
        <v>33.799999999999997</v>
      </c>
      <c r="X7" s="769"/>
    </row>
    <row r="8" spans="1:24" ht="19.149999999999999" customHeight="1">
      <c r="A8" s="1200"/>
      <c r="B8" s="832">
        <v>6</v>
      </c>
      <c r="C8" s="765">
        <v>48.648800000000001</v>
      </c>
      <c r="D8" s="765">
        <v>36.622900000000001</v>
      </c>
      <c r="E8" s="765">
        <v>85.27170000000001</v>
      </c>
      <c r="F8" s="832">
        <v>42.12</v>
      </c>
      <c r="G8" s="832">
        <v>37.39</v>
      </c>
      <c r="H8" s="832">
        <v>79.509999999999991</v>
      </c>
      <c r="I8" s="832">
        <v>80.599999999999994</v>
      </c>
      <c r="J8" s="765">
        <f t="shared" si="0"/>
        <v>100.75</v>
      </c>
      <c r="K8" s="765">
        <f t="shared" si="1"/>
        <v>60.449999999999996</v>
      </c>
      <c r="L8" s="765">
        <f t="shared" si="2"/>
        <v>40.300000000000004</v>
      </c>
      <c r="M8" s="765">
        <f t="shared" si="3"/>
        <v>40.300000000000004</v>
      </c>
      <c r="O8" s="1203"/>
      <c r="P8" s="771">
        <v>6</v>
      </c>
      <c r="Q8" s="767">
        <v>34023</v>
      </c>
      <c r="R8" s="832">
        <v>9</v>
      </c>
      <c r="S8" s="832">
        <v>10.6</v>
      </c>
      <c r="T8" s="832">
        <v>67</v>
      </c>
      <c r="U8" s="832">
        <v>83.7</v>
      </c>
      <c r="V8" s="832">
        <v>50.2</v>
      </c>
      <c r="W8" s="768">
        <v>33.5</v>
      </c>
      <c r="X8" s="769"/>
    </row>
    <row r="9" spans="1:24" ht="19.149999999999999" customHeight="1">
      <c r="A9" s="1200"/>
      <c r="B9" s="832">
        <v>7</v>
      </c>
      <c r="C9" s="765">
        <v>49.299700000000001</v>
      </c>
      <c r="D9" s="765">
        <v>35.936700000000002</v>
      </c>
      <c r="E9" s="765">
        <v>85.236400000000003</v>
      </c>
      <c r="F9" s="832">
        <v>42.41</v>
      </c>
      <c r="G9" s="832">
        <v>36.979999999999997</v>
      </c>
      <c r="H9" s="832">
        <v>79.389999999999986</v>
      </c>
      <c r="I9" s="832">
        <v>80.8</v>
      </c>
      <c r="J9" s="765">
        <f t="shared" si="0"/>
        <v>101</v>
      </c>
      <c r="K9" s="765">
        <f t="shared" si="1"/>
        <v>60.599999999999994</v>
      </c>
      <c r="L9" s="765">
        <f t="shared" si="2"/>
        <v>40.400000000000006</v>
      </c>
      <c r="M9" s="765">
        <f t="shared" si="3"/>
        <v>40.400000000000006</v>
      </c>
      <c r="O9" s="1203"/>
      <c r="P9" s="771">
        <v>7</v>
      </c>
      <c r="Q9" s="767">
        <v>37336</v>
      </c>
      <c r="R9" s="832">
        <v>11.7</v>
      </c>
      <c r="S9" s="832">
        <v>9</v>
      </c>
      <c r="T9" s="832">
        <v>70.5</v>
      </c>
      <c r="U9" s="832">
        <v>88.2</v>
      </c>
      <c r="V9" s="832">
        <v>52.9</v>
      </c>
      <c r="W9" s="768">
        <v>35.299999999999997</v>
      </c>
      <c r="X9" s="769"/>
    </row>
    <row r="10" spans="1:24" ht="19.149999999999999" customHeight="1">
      <c r="A10" s="1200"/>
      <c r="B10" s="832">
        <v>8</v>
      </c>
      <c r="C10" s="765">
        <v>51.829499999999996</v>
      </c>
      <c r="D10" s="765">
        <v>36.555400000000006</v>
      </c>
      <c r="E10" s="765">
        <v>88.384900000000002</v>
      </c>
      <c r="F10" s="832">
        <v>44.59</v>
      </c>
      <c r="G10" s="832">
        <v>37.78</v>
      </c>
      <c r="H10" s="832">
        <v>82.37</v>
      </c>
      <c r="I10" s="832">
        <v>83.4</v>
      </c>
      <c r="J10" s="765">
        <f t="shared" si="0"/>
        <v>104.25</v>
      </c>
      <c r="K10" s="765">
        <f t="shared" si="1"/>
        <v>62.550000000000004</v>
      </c>
      <c r="L10" s="765">
        <f t="shared" si="2"/>
        <v>41.699999999999996</v>
      </c>
      <c r="M10" s="765">
        <f t="shared" si="3"/>
        <v>41.699999999999996</v>
      </c>
      <c r="O10" s="1203"/>
      <c r="P10" s="771">
        <v>8</v>
      </c>
      <c r="Q10" s="767">
        <v>50599</v>
      </c>
      <c r="R10" s="832">
        <v>8.9</v>
      </c>
      <c r="S10" s="832">
        <v>10.4</v>
      </c>
      <c r="T10" s="832">
        <v>65.8</v>
      </c>
      <c r="U10" s="832">
        <v>82.3</v>
      </c>
      <c r="V10" s="832">
        <v>49.4</v>
      </c>
      <c r="W10" s="768">
        <v>32.9</v>
      </c>
      <c r="X10" s="769"/>
    </row>
    <row r="11" spans="1:24" ht="19.149999999999999" customHeight="1">
      <c r="A11" s="1200"/>
      <c r="B11" s="832">
        <v>9</v>
      </c>
      <c r="C11" s="765">
        <v>51.375799999999991</v>
      </c>
      <c r="D11" s="765">
        <v>37.713000000000008</v>
      </c>
      <c r="E11" s="765">
        <v>89.088799999999992</v>
      </c>
      <c r="F11" s="832">
        <v>44.11</v>
      </c>
      <c r="G11" s="832">
        <v>38.71</v>
      </c>
      <c r="H11" s="832">
        <v>82.82</v>
      </c>
      <c r="I11" s="832">
        <v>83.8</v>
      </c>
      <c r="J11" s="765">
        <f t="shared" si="0"/>
        <v>104.75</v>
      </c>
      <c r="K11" s="765">
        <f t="shared" si="1"/>
        <v>62.849999999999994</v>
      </c>
      <c r="L11" s="765">
        <f t="shared" si="2"/>
        <v>41.900000000000006</v>
      </c>
      <c r="M11" s="765">
        <f t="shared" si="3"/>
        <v>41.900000000000006</v>
      </c>
      <c r="O11" s="1203"/>
      <c r="P11" s="771">
        <v>9</v>
      </c>
      <c r="Q11" s="767">
        <v>56761</v>
      </c>
      <c r="R11" s="832">
        <v>8.9</v>
      </c>
      <c r="S11" s="832">
        <v>10</v>
      </c>
      <c r="T11" s="832">
        <v>64.599999999999994</v>
      </c>
      <c r="U11" s="832">
        <v>80.7</v>
      </c>
      <c r="V11" s="832">
        <v>48.4</v>
      </c>
      <c r="W11" s="768">
        <v>32.299999999999997</v>
      </c>
      <c r="X11" s="769"/>
    </row>
    <row r="12" spans="1:24" ht="19.149999999999999" customHeight="1">
      <c r="A12" s="1200"/>
      <c r="B12" s="832">
        <v>10</v>
      </c>
      <c r="C12" s="765">
        <v>52.860099999999996</v>
      </c>
      <c r="D12" s="765">
        <v>38.218699999999998</v>
      </c>
      <c r="E12" s="765">
        <v>91.078800000000001</v>
      </c>
      <c r="F12" s="832">
        <v>45.47</v>
      </c>
      <c r="G12" s="832">
        <v>39.06</v>
      </c>
      <c r="H12" s="832">
        <v>84.53</v>
      </c>
      <c r="I12" s="832">
        <v>85.5</v>
      </c>
      <c r="J12" s="765">
        <f t="shared" si="0"/>
        <v>106.875</v>
      </c>
      <c r="K12" s="765">
        <f t="shared" si="1"/>
        <v>64.125</v>
      </c>
      <c r="L12" s="765">
        <f t="shared" si="2"/>
        <v>42.75</v>
      </c>
      <c r="M12" s="765">
        <f t="shared" si="3"/>
        <v>42.75</v>
      </c>
      <c r="O12" s="1203"/>
      <c r="P12" s="771">
        <v>10</v>
      </c>
      <c r="Q12" s="767">
        <v>48383</v>
      </c>
      <c r="R12" s="832">
        <v>10.6</v>
      </c>
      <c r="S12" s="832">
        <v>13.1</v>
      </c>
      <c r="T12" s="832">
        <v>80.7</v>
      </c>
      <c r="U12" s="832">
        <v>100.9</v>
      </c>
      <c r="V12" s="832">
        <v>60.5</v>
      </c>
      <c r="W12" s="768">
        <v>40.4</v>
      </c>
      <c r="X12" s="769"/>
    </row>
    <row r="13" spans="1:24" ht="19.149999999999999" customHeight="1">
      <c r="A13" s="1200"/>
      <c r="B13" s="832">
        <v>11</v>
      </c>
      <c r="C13" s="765">
        <v>52.584400000000002</v>
      </c>
      <c r="D13" s="765">
        <v>46.638600000000004</v>
      </c>
      <c r="E13" s="765">
        <v>99.223000000000013</v>
      </c>
      <c r="F13" s="832">
        <v>45.56</v>
      </c>
      <c r="G13" s="832">
        <v>45.89</v>
      </c>
      <c r="H13" s="832">
        <v>91.45</v>
      </c>
      <c r="I13" s="832">
        <v>89.7</v>
      </c>
      <c r="J13" s="765">
        <f t="shared" si="0"/>
        <v>112.125</v>
      </c>
      <c r="K13" s="765">
        <f t="shared" si="1"/>
        <v>67.275000000000006</v>
      </c>
      <c r="L13" s="765">
        <f t="shared" si="2"/>
        <v>44.849999999999994</v>
      </c>
      <c r="M13" s="765">
        <f t="shared" si="3"/>
        <v>44.849999999999994</v>
      </c>
      <c r="O13" s="1203"/>
      <c r="P13" s="771">
        <v>11</v>
      </c>
      <c r="Q13" s="767">
        <v>13807</v>
      </c>
      <c r="R13" s="832">
        <v>13.4</v>
      </c>
      <c r="S13" s="832">
        <v>12.1</v>
      </c>
      <c r="T13" s="832">
        <v>86.9</v>
      </c>
      <c r="U13" s="832">
        <v>108.7</v>
      </c>
      <c r="V13" s="832">
        <v>65.2</v>
      </c>
      <c r="W13" s="768">
        <v>43.5</v>
      </c>
      <c r="X13" s="769"/>
    </row>
    <row r="14" spans="1:24" ht="19.149999999999999" customHeight="1">
      <c r="A14" s="1200"/>
      <c r="B14" s="832">
        <v>12</v>
      </c>
      <c r="C14" s="765">
        <v>49.460099999999997</v>
      </c>
      <c r="D14" s="765">
        <v>44.642400000000002</v>
      </c>
      <c r="E14" s="765">
        <v>94.102499999999992</v>
      </c>
      <c r="F14" s="832">
        <v>42.76</v>
      </c>
      <c r="G14" s="832">
        <v>45.21</v>
      </c>
      <c r="H14" s="832">
        <v>87.97</v>
      </c>
      <c r="I14" s="832">
        <v>86.9</v>
      </c>
      <c r="J14" s="765">
        <f t="shared" si="0"/>
        <v>108.625</v>
      </c>
      <c r="K14" s="765">
        <f t="shared" si="1"/>
        <v>65.175000000000011</v>
      </c>
      <c r="L14" s="765">
        <f t="shared" si="2"/>
        <v>43.449999999999989</v>
      </c>
      <c r="M14" s="765">
        <f t="shared" si="3"/>
        <v>43.449999999999989</v>
      </c>
      <c r="O14" s="1203"/>
      <c r="P14" s="771">
        <v>12</v>
      </c>
      <c r="Q14" s="767">
        <v>54244</v>
      </c>
      <c r="R14" s="832">
        <v>11.8</v>
      </c>
      <c r="S14" s="832">
        <v>11.5</v>
      </c>
      <c r="T14" s="832">
        <v>79.5</v>
      </c>
      <c r="U14" s="832">
        <v>99.3</v>
      </c>
      <c r="V14" s="832">
        <v>59.6</v>
      </c>
      <c r="W14" s="768">
        <v>39.700000000000003</v>
      </c>
      <c r="X14" s="769"/>
    </row>
    <row r="15" spans="1:24" ht="19.149999999999999" customHeight="1">
      <c r="A15" s="1200"/>
      <c r="B15" s="832">
        <v>13</v>
      </c>
      <c r="C15" s="765">
        <v>53.881</v>
      </c>
      <c r="D15" s="765">
        <v>42.946000000000005</v>
      </c>
      <c r="E15" s="765">
        <v>96.826999999999998</v>
      </c>
      <c r="F15" s="832">
        <v>46.08</v>
      </c>
      <c r="G15" s="832">
        <v>43.38</v>
      </c>
      <c r="H15" s="832">
        <v>89.460000000000008</v>
      </c>
      <c r="I15" s="832">
        <v>90.1</v>
      </c>
      <c r="J15" s="765">
        <f t="shared" si="0"/>
        <v>112.625</v>
      </c>
      <c r="K15" s="765">
        <f t="shared" si="1"/>
        <v>67.574999999999989</v>
      </c>
      <c r="L15" s="765">
        <f t="shared" si="2"/>
        <v>45.050000000000011</v>
      </c>
      <c r="M15" s="765">
        <f t="shared" si="3"/>
        <v>45.050000000000011</v>
      </c>
      <c r="O15" s="1203"/>
      <c r="P15" s="771">
        <v>13</v>
      </c>
      <c r="Q15" s="767">
        <v>16296</v>
      </c>
      <c r="R15" s="832">
        <v>11.8</v>
      </c>
      <c r="S15" s="832">
        <v>9</v>
      </c>
      <c r="T15" s="832">
        <v>71</v>
      </c>
      <c r="U15" s="832">
        <v>88.8</v>
      </c>
      <c r="V15" s="832">
        <v>53.3</v>
      </c>
      <c r="W15" s="768">
        <v>35.5</v>
      </c>
      <c r="X15" s="769"/>
    </row>
    <row r="16" spans="1:24" ht="19.149999999999999" customHeight="1">
      <c r="A16" s="1200"/>
      <c r="B16" s="832">
        <v>14</v>
      </c>
      <c r="C16" s="765">
        <v>52.656600000000005</v>
      </c>
      <c r="D16" s="765">
        <v>45.283000000000001</v>
      </c>
      <c r="E16" s="765">
        <v>97.939600000000013</v>
      </c>
      <c r="F16" s="832">
        <v>45.4</v>
      </c>
      <c r="G16" s="832">
        <v>45.05</v>
      </c>
      <c r="H16" s="832">
        <v>90.449999999999989</v>
      </c>
      <c r="I16" s="832">
        <v>90.5</v>
      </c>
      <c r="J16" s="765">
        <f t="shared" si="0"/>
        <v>113.125</v>
      </c>
      <c r="K16" s="765">
        <f t="shared" si="1"/>
        <v>67.875</v>
      </c>
      <c r="L16" s="765">
        <f t="shared" si="2"/>
        <v>45.25</v>
      </c>
      <c r="M16" s="765">
        <f t="shared" si="3"/>
        <v>45.25</v>
      </c>
      <c r="O16" s="1203"/>
      <c r="P16" s="771">
        <v>14</v>
      </c>
      <c r="Q16" s="767">
        <v>9753</v>
      </c>
      <c r="R16" s="832">
        <v>10.4</v>
      </c>
      <c r="S16" s="832">
        <v>13</v>
      </c>
      <c r="T16" s="832">
        <v>79.8</v>
      </c>
      <c r="U16" s="832">
        <v>99.7</v>
      </c>
      <c r="V16" s="832">
        <v>59.8</v>
      </c>
      <c r="W16" s="768">
        <v>39.9</v>
      </c>
      <c r="X16" s="769"/>
    </row>
    <row r="17" spans="1:24" ht="19.149999999999999" customHeight="1">
      <c r="A17" s="1200"/>
      <c r="B17" s="832">
        <v>15</v>
      </c>
      <c r="C17" s="765">
        <v>60.836499999999994</v>
      </c>
      <c r="D17" s="765">
        <v>35.539700000000003</v>
      </c>
      <c r="E17" s="765">
        <v>96.376199999999997</v>
      </c>
      <c r="F17" s="832">
        <v>54.25</v>
      </c>
      <c r="G17" s="832">
        <v>36.76</v>
      </c>
      <c r="H17" s="832">
        <v>91.009999999999991</v>
      </c>
      <c r="I17" s="832">
        <v>95.3</v>
      </c>
      <c r="J17" s="765">
        <f t="shared" si="0"/>
        <v>119.125</v>
      </c>
      <c r="K17" s="765">
        <f t="shared" si="1"/>
        <v>71.474999999999994</v>
      </c>
      <c r="L17" s="765">
        <f t="shared" si="2"/>
        <v>47.650000000000006</v>
      </c>
      <c r="M17" s="765">
        <f t="shared" si="3"/>
        <v>47.650000000000006</v>
      </c>
      <c r="O17" s="1203"/>
      <c r="P17" s="771">
        <v>15</v>
      </c>
      <c r="Q17" s="767">
        <v>24241</v>
      </c>
      <c r="R17" s="832">
        <v>8.5</v>
      </c>
      <c r="S17" s="832">
        <v>14.2</v>
      </c>
      <c r="T17" s="832">
        <v>77.5</v>
      </c>
      <c r="U17" s="832">
        <v>96.9</v>
      </c>
      <c r="V17" s="832">
        <v>58.1</v>
      </c>
      <c r="W17" s="768">
        <v>38.799999999999997</v>
      </c>
      <c r="X17" s="769"/>
    </row>
    <row r="18" spans="1:24" ht="19.149999999999999" customHeight="1">
      <c r="A18" s="1200"/>
      <c r="B18" s="832">
        <v>16</v>
      </c>
      <c r="C18" s="765">
        <v>46.575299999999999</v>
      </c>
      <c r="D18" s="765">
        <v>53.7864</v>
      </c>
      <c r="E18" s="765">
        <v>100.3617</v>
      </c>
      <c r="F18" s="832">
        <v>39.159999999999997</v>
      </c>
      <c r="G18" s="832">
        <v>52.45</v>
      </c>
      <c r="H18" s="832">
        <v>91.61</v>
      </c>
      <c r="I18" s="832">
        <v>91.5</v>
      </c>
      <c r="J18" s="765">
        <f t="shared" si="0"/>
        <v>114.375</v>
      </c>
      <c r="K18" s="765">
        <f t="shared" si="1"/>
        <v>68.625</v>
      </c>
      <c r="L18" s="765">
        <f t="shared" si="2"/>
        <v>45.75</v>
      </c>
      <c r="M18" s="765">
        <f t="shared" si="3"/>
        <v>45.75</v>
      </c>
      <c r="N18" s="12"/>
      <c r="O18" s="1204"/>
      <c r="P18" s="771">
        <v>16</v>
      </c>
      <c r="Q18" s="767">
        <v>33483</v>
      </c>
      <c r="R18" s="832">
        <v>12.3</v>
      </c>
      <c r="S18" s="832">
        <v>13.6</v>
      </c>
      <c r="T18" s="832">
        <v>88.4</v>
      </c>
      <c r="U18" s="832">
        <v>110.5</v>
      </c>
      <c r="V18" s="832">
        <v>66.3</v>
      </c>
      <c r="W18" s="768">
        <v>44.2</v>
      </c>
      <c r="X18" s="769"/>
    </row>
    <row r="19" spans="1:24" ht="19.149999999999999" customHeight="1">
      <c r="A19" s="13"/>
      <c r="B19" s="61"/>
      <c r="J19" s="763"/>
      <c r="K19" s="763"/>
    </row>
    <row r="21" spans="1:24">
      <c r="Q21" s="10" t="s">
        <v>805</v>
      </c>
    </row>
    <row r="22" spans="1:24">
      <c r="Q22" s="10" t="s">
        <v>806</v>
      </c>
    </row>
    <row r="23" spans="1:24">
      <c r="Q23" s="10" t="s">
        <v>807</v>
      </c>
    </row>
    <row r="25" spans="1:24">
      <c r="B25" s="61"/>
    </row>
    <row r="26" spans="1:24" s="24" customFormat="1" hidden="1">
      <c r="A26" s="11"/>
      <c r="B26" s="61"/>
      <c r="C26" s="11"/>
      <c r="D26" s="11"/>
      <c r="E26" s="11"/>
      <c r="F26" s="11"/>
      <c r="G26" s="11"/>
      <c r="H26" s="11"/>
      <c r="I26" s="11"/>
      <c r="J26" s="11"/>
      <c r="K26" s="11"/>
      <c r="L26" s="11"/>
      <c r="M26" s="11"/>
      <c r="N26" s="11"/>
      <c r="O26" s="11"/>
      <c r="Q26" s="24" t="s">
        <v>95</v>
      </c>
      <c r="U26" s="25"/>
      <c r="V26" s="26"/>
      <c r="W26" s="27"/>
      <c r="X26" s="27"/>
    </row>
    <row r="27" spans="1:24">
      <c r="B27" s="61"/>
    </row>
    <row r="28" spans="1:24">
      <c r="B28" s="61"/>
      <c r="Q28" s="328"/>
      <c r="R28" s="328"/>
      <c r="S28" s="328"/>
      <c r="T28" s="328"/>
      <c r="U28" s="328"/>
      <c r="V28" s="328"/>
    </row>
    <row r="29" spans="1:24">
      <c r="B29" s="61"/>
    </row>
    <row r="30" spans="1:24">
      <c r="B30" s="61"/>
    </row>
    <row r="31" spans="1:24">
      <c r="B31" s="61"/>
    </row>
    <row r="32" spans="1:24">
      <c r="B32" s="61"/>
    </row>
    <row r="33" spans="2:2">
      <c r="B33" s="61"/>
    </row>
    <row r="34" spans="2:2">
      <c r="B34" s="61"/>
    </row>
    <row r="35" spans="2:2">
      <c r="B35" s="61"/>
    </row>
    <row r="36" spans="2:2">
      <c r="B36" s="61"/>
    </row>
    <row r="37" spans="2:2">
      <c r="B37" s="61"/>
    </row>
    <row r="38" spans="2:2">
      <c r="B38" s="61"/>
    </row>
    <row r="39" spans="2:2">
      <c r="B39" s="61"/>
    </row>
    <row r="40" spans="2:2">
      <c r="B40" s="61"/>
    </row>
  </sheetData>
  <mergeCells count="4">
    <mergeCell ref="A3:A18"/>
    <mergeCell ref="O1:W1"/>
    <mergeCell ref="A1:M1"/>
    <mergeCell ref="O3:O18"/>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1C2528-244E-42F6-AB8E-307C68E3EB6B}">
  <sheetPr codeName="Sheet21"/>
  <dimension ref="A1:AB49"/>
  <sheetViews>
    <sheetView zoomScaleNormal="100" workbookViewId="0">
      <selection sqref="A1:G1"/>
    </sheetView>
  </sheetViews>
  <sheetFormatPr defaultColWidth="8.7109375" defaultRowHeight="13.15"/>
  <cols>
    <col min="1" max="2" width="12" style="10" customWidth="1"/>
    <col min="3" max="6" width="13.7109375" style="10" customWidth="1"/>
    <col min="7" max="7" width="13.28515625" style="10" customWidth="1"/>
    <col min="8" max="8" width="12.7109375" style="10" bestFit="1" customWidth="1"/>
    <col min="9" max="9" width="8.7109375" style="10"/>
    <col min="10" max="10" width="12" style="10" customWidth="1"/>
    <col min="11" max="11" width="14.140625" style="10" customWidth="1"/>
    <col min="12" max="12" width="10.28515625" style="10" customWidth="1"/>
    <col min="13" max="27" width="5.7109375" style="10" customWidth="1"/>
    <col min="28" max="16384" width="8.7109375" style="10"/>
  </cols>
  <sheetData>
    <row r="1" spans="1:28" ht="28.9" customHeight="1">
      <c r="A1" s="901" t="s">
        <v>808</v>
      </c>
      <c r="B1" s="901"/>
      <c r="C1" s="901"/>
      <c r="D1" s="901"/>
      <c r="E1" s="901"/>
      <c r="F1" s="901"/>
      <c r="G1" s="901"/>
      <c r="J1" s="906" t="s">
        <v>808</v>
      </c>
      <c r="K1" s="906"/>
      <c r="L1" s="906"/>
      <c r="M1" s="906"/>
      <c r="N1" s="906"/>
      <c r="O1" s="906"/>
      <c r="P1" s="906"/>
      <c r="Q1" s="906"/>
      <c r="R1" s="906"/>
      <c r="S1" s="906"/>
      <c r="T1" s="906"/>
      <c r="U1" s="906"/>
      <c r="V1" s="906"/>
      <c r="W1" s="906"/>
      <c r="X1" s="906"/>
      <c r="Y1" s="906"/>
      <c r="Z1" s="906"/>
      <c r="AA1" s="906"/>
    </row>
    <row r="2" spans="1:28" ht="21" customHeight="1">
      <c r="A2" s="1209" t="s">
        <v>6</v>
      </c>
      <c r="B2" s="1209" t="s">
        <v>788</v>
      </c>
      <c r="C2" s="1209" t="s">
        <v>809</v>
      </c>
      <c r="D2" s="1209"/>
      <c r="E2" s="1209"/>
      <c r="F2" s="1209"/>
      <c r="G2" s="1209"/>
      <c r="J2" s="1210" t="s">
        <v>6</v>
      </c>
      <c r="K2" s="1210" t="s">
        <v>809</v>
      </c>
      <c r="L2" s="1210" t="s">
        <v>788</v>
      </c>
      <c r="M2" s="1210"/>
      <c r="N2" s="1210"/>
      <c r="O2" s="1210"/>
      <c r="P2" s="1210"/>
      <c r="Q2" s="1210"/>
      <c r="R2" s="1210"/>
      <c r="S2" s="1210"/>
      <c r="T2" s="1210"/>
      <c r="U2" s="1210"/>
      <c r="V2" s="1210"/>
      <c r="W2" s="1210"/>
      <c r="X2" s="1210"/>
      <c r="Y2" s="1210"/>
      <c r="Z2" s="1210"/>
      <c r="AA2" s="1210"/>
    </row>
    <row r="3" spans="1:28" ht="21" customHeight="1">
      <c r="A3" s="1209"/>
      <c r="B3" s="1209"/>
      <c r="C3" s="834" t="s">
        <v>810</v>
      </c>
      <c r="D3" s="834" t="s">
        <v>268</v>
      </c>
      <c r="E3" s="834" t="s">
        <v>271</v>
      </c>
      <c r="F3" s="834" t="s">
        <v>273</v>
      </c>
      <c r="G3" s="834"/>
      <c r="J3" s="1210"/>
      <c r="K3" s="1210"/>
      <c r="L3" s="835">
        <v>1</v>
      </c>
      <c r="M3" s="835">
        <v>2</v>
      </c>
      <c r="N3" s="835">
        <v>3</v>
      </c>
      <c r="O3" s="835">
        <v>4</v>
      </c>
      <c r="P3" s="835">
        <v>5</v>
      </c>
      <c r="Q3" s="835">
        <v>6</v>
      </c>
      <c r="R3" s="835">
        <v>7</v>
      </c>
      <c r="S3" s="835">
        <v>8</v>
      </c>
      <c r="T3" s="835">
        <v>9</v>
      </c>
      <c r="U3" s="835">
        <v>10</v>
      </c>
      <c r="V3" s="835">
        <v>11</v>
      </c>
      <c r="W3" s="835">
        <v>12</v>
      </c>
      <c r="X3" s="835">
        <v>13</v>
      </c>
      <c r="Y3" s="835">
        <v>14</v>
      </c>
      <c r="Z3" s="835">
        <v>15</v>
      </c>
      <c r="AA3" s="835">
        <v>16</v>
      </c>
    </row>
    <row r="4" spans="1:28" ht="16.899999999999999" customHeight="1">
      <c r="A4" s="1208" t="s">
        <v>811</v>
      </c>
      <c r="B4" s="389">
        <v>1</v>
      </c>
      <c r="C4" s="759">
        <v>0.50628082268927255</v>
      </c>
      <c r="D4" s="759">
        <v>0.16587166032445944</v>
      </c>
      <c r="E4" s="759">
        <v>0.2571872531842368</v>
      </c>
      <c r="F4" s="759">
        <v>6.937218562257573E-2</v>
      </c>
      <c r="G4" s="330"/>
      <c r="H4" s="63">
        <f t="shared" ref="H4:H19" si="0">SUM(C4:G4)</f>
        <v>0.99871192182054447</v>
      </c>
      <c r="J4" s="1205" t="s">
        <v>811</v>
      </c>
      <c r="K4" s="37" t="s">
        <v>810</v>
      </c>
      <c r="L4" s="37">
        <v>3.1958159020748375E-2</v>
      </c>
      <c r="M4" s="37">
        <v>0.16446102145063418</v>
      </c>
      <c r="N4" s="37">
        <v>0.18930243090097357</v>
      </c>
      <c r="O4" s="37">
        <v>9.1031311169240861E-2</v>
      </c>
      <c r="P4" s="37">
        <v>2.3609342884560066E-2</v>
      </c>
      <c r="Q4" s="37">
        <v>5.3814436183590185E-2</v>
      </c>
      <c r="R4" s="37">
        <v>4.0603994910743721E-2</v>
      </c>
      <c r="S4" s="37">
        <v>7.3176755203811672E-2</v>
      </c>
      <c r="T4" s="37">
        <v>8.512113837017099E-2</v>
      </c>
      <c r="U4" s="37">
        <v>3.469371820735713E-2</v>
      </c>
      <c r="V4" s="37">
        <v>1.8635465331352841E-2</v>
      </c>
      <c r="W4" s="37">
        <v>0.1046046229974907</v>
      </c>
      <c r="X4" s="37">
        <v>3.3038831914047995E-2</v>
      </c>
      <c r="Y4" s="37">
        <v>9.6756810277283754E-3</v>
      </c>
      <c r="Z4" s="37">
        <v>1.4932919709784241E-2</v>
      </c>
      <c r="AA4" s="37">
        <v>3.1340170717765133E-2</v>
      </c>
      <c r="AB4" s="63">
        <f>SUM(L4:AA4)</f>
        <v>1</v>
      </c>
    </row>
    <row r="5" spans="1:28" ht="16.899999999999999" customHeight="1">
      <c r="A5" s="1208"/>
      <c r="B5" s="389">
        <v>2</v>
      </c>
      <c r="C5" s="759">
        <v>0.5808234304725588</v>
      </c>
      <c r="D5" s="759">
        <v>9.5906358252987059E-2</v>
      </c>
      <c r="E5" s="759">
        <v>0.28936432454190797</v>
      </c>
      <c r="F5" s="759">
        <v>3.3483003798055487E-2</v>
      </c>
      <c r="G5" s="330"/>
      <c r="H5" s="63">
        <f t="shared" si="0"/>
        <v>0.99957711706550934</v>
      </c>
      <c r="J5" s="1206"/>
      <c r="K5" s="37" t="s">
        <v>268</v>
      </c>
      <c r="L5" s="37">
        <v>7.86074053421419E-3</v>
      </c>
      <c r="M5" s="37">
        <v>2.0387653756959646E-2</v>
      </c>
      <c r="N5" s="37">
        <v>8.0326533415574872E-2</v>
      </c>
      <c r="O5" s="37">
        <v>3.6914257461920022E-2</v>
      </c>
      <c r="P5" s="37">
        <v>1.7869973725136112E-2</v>
      </c>
      <c r="Q5" s="37">
        <v>7.9967740292582981E-2</v>
      </c>
      <c r="R5" s="37">
        <v>7.398358864555811E-2</v>
      </c>
      <c r="S5" s="37">
        <v>0.11623145166841402</v>
      </c>
      <c r="T5" s="37">
        <v>0.13672847358684342</v>
      </c>
      <c r="U5" s="37">
        <v>0.11924267584419081</v>
      </c>
      <c r="V5" s="37">
        <v>3.0162961668198453E-2</v>
      </c>
      <c r="W5" s="37">
        <v>8.7113140767076866E-2</v>
      </c>
      <c r="X5" s="37">
        <v>2.6447765911379227E-2</v>
      </c>
      <c r="Y5" s="37">
        <v>2.2110430622112518E-2</v>
      </c>
      <c r="Z5" s="37">
        <v>7.2148510710887445E-2</v>
      </c>
      <c r="AA5" s="37">
        <v>7.2504101388951081E-2</v>
      </c>
      <c r="AB5" s="63">
        <f>SUM(L5:AA5)</f>
        <v>0.99999999999999978</v>
      </c>
    </row>
    <row r="6" spans="1:28" ht="16.899999999999999" customHeight="1">
      <c r="A6" s="1208"/>
      <c r="B6" s="389">
        <v>3</v>
      </c>
      <c r="C6" s="759">
        <v>0.47641109711759771</v>
      </c>
      <c r="D6" s="759">
        <v>0.26926735833267823</v>
      </c>
      <c r="E6" s="759">
        <v>0.20820416055359467</v>
      </c>
      <c r="F6" s="759">
        <v>4.3878115130235588E-2</v>
      </c>
      <c r="G6" s="330"/>
      <c r="H6" s="63">
        <f t="shared" si="0"/>
        <v>0.99776073113410624</v>
      </c>
      <c r="J6" s="1206"/>
      <c r="K6" s="37" t="s">
        <v>271</v>
      </c>
      <c r="L6" s="37">
        <v>2.609526556353569E-2</v>
      </c>
      <c r="M6" s="37">
        <v>0.13170002171995815</v>
      </c>
      <c r="N6" s="37">
        <v>0.13297981676777038</v>
      </c>
      <c r="O6" s="37">
        <v>6.2188219437319524E-2</v>
      </c>
      <c r="P6" s="37">
        <v>1.6496032129001661E-2</v>
      </c>
      <c r="Q6" s="37">
        <v>3.1148054240970422E-2</v>
      </c>
      <c r="R6" s="37">
        <v>6.5736532682977591E-2</v>
      </c>
      <c r="S6" s="37">
        <v>4.2874675128049891E-2</v>
      </c>
      <c r="T6" s="37">
        <v>5.3996860075477111E-2</v>
      </c>
      <c r="U6" s="37">
        <v>9.9356810038695564E-2</v>
      </c>
      <c r="V6" s="37">
        <v>2.824927839463812E-2</v>
      </c>
      <c r="W6" s="37">
        <v>0.13796163277219647</v>
      </c>
      <c r="X6" s="37">
        <v>2.615656246197625E-2</v>
      </c>
      <c r="Y6" s="37">
        <v>2.2856680594006848E-2</v>
      </c>
      <c r="Z6" s="37">
        <v>2.4044132548299482E-2</v>
      </c>
      <c r="AA6" s="37">
        <v>9.8159425445126833E-2</v>
      </c>
      <c r="AB6" s="63">
        <f>SUM(L6:AA6)</f>
        <v>0.99999999999999989</v>
      </c>
    </row>
    <row r="7" spans="1:28" ht="16.899999999999999" customHeight="1">
      <c r="A7" s="1208"/>
      <c r="B7" s="389">
        <v>4</v>
      </c>
      <c r="C7" s="759">
        <v>0.48595537280070394</v>
      </c>
      <c r="D7" s="759">
        <v>0.26248152077529413</v>
      </c>
      <c r="E7" s="759">
        <v>0.20653407209843247</v>
      </c>
      <c r="F7" s="759">
        <v>4.266599692315088E-2</v>
      </c>
      <c r="G7" s="330"/>
      <c r="H7" s="63">
        <f t="shared" si="0"/>
        <v>0.99763696259758139</v>
      </c>
      <c r="J7" s="1206"/>
      <c r="K7" s="37" t="s">
        <v>273</v>
      </c>
      <c r="L7" s="37">
        <v>1.2331313806715521E-2</v>
      </c>
      <c r="M7" s="37">
        <v>2.6697891509278156E-2</v>
      </c>
      <c r="N7" s="37">
        <v>4.909711590748813E-2</v>
      </c>
      <c r="O7" s="37">
        <v>2.2506605766531698E-2</v>
      </c>
      <c r="P7" s="37">
        <v>9.1255607467405318E-3</v>
      </c>
      <c r="Q7" s="37">
        <v>7.0674540081112555E-2</v>
      </c>
      <c r="R7" s="37">
        <v>0.16402731678619323</v>
      </c>
      <c r="S7" s="37">
        <v>0.11062321223058114</v>
      </c>
      <c r="T7" s="37">
        <v>0.11989521471784341</v>
      </c>
      <c r="U7" s="37">
        <v>0.10838757320360705</v>
      </c>
      <c r="V7" s="37">
        <v>2.7034823003873106E-2</v>
      </c>
      <c r="W7" s="37">
        <v>0.12143038349080425</v>
      </c>
      <c r="X7" s="37">
        <v>5.1575970989152425E-2</v>
      </c>
      <c r="Y7" s="37">
        <v>1.6831071389234734E-2</v>
      </c>
      <c r="Z7" s="37">
        <v>2.4652003715191498E-2</v>
      </c>
      <c r="AA7" s="37">
        <v>6.5109402655652682E-2</v>
      </c>
      <c r="AB7" s="63">
        <f>SUM(L7:AA7)</f>
        <v>1</v>
      </c>
    </row>
    <row r="8" spans="1:28" ht="16.899999999999999" customHeight="1">
      <c r="A8" s="1208"/>
      <c r="B8" s="389">
        <v>5</v>
      </c>
      <c r="C8" s="759">
        <v>0.38657729651132927</v>
      </c>
      <c r="D8" s="759">
        <v>0.38974034532111995</v>
      </c>
      <c r="E8" s="759">
        <v>0.16803894036531394</v>
      </c>
      <c r="F8" s="759">
        <v>5.3061351729305137E-2</v>
      </c>
      <c r="G8" s="330"/>
      <c r="H8" s="63">
        <f t="shared" si="0"/>
        <v>0.99741793392706835</v>
      </c>
      <c r="J8" s="1206"/>
      <c r="K8" s="37" t="s">
        <v>812</v>
      </c>
      <c r="L8" s="37">
        <v>7.6595771587513878E-3</v>
      </c>
      <c r="M8" s="37">
        <v>1.9395415085875788E-2</v>
      </c>
      <c r="N8" s="37">
        <v>6.4274257294414397E-2</v>
      </c>
      <c r="O8" s="37">
        <v>3.1165492886718982E-2</v>
      </c>
      <c r="P8" s="37">
        <v>1.0643560749947514E-2</v>
      </c>
      <c r="Q8" s="37">
        <v>8.8976704700863538E-2</v>
      </c>
      <c r="R8" s="37">
        <v>5.3404545003611789E-2</v>
      </c>
      <c r="S8" s="37">
        <v>0.16702746485947975</v>
      </c>
      <c r="T8" s="37">
        <v>0.14278414996479211</v>
      </c>
      <c r="U8" s="37">
        <v>0.11809324699616491</v>
      </c>
      <c r="V8" s="37">
        <v>2.6677925986726945E-2</v>
      </c>
      <c r="W8" s="37">
        <v>6.6472448046975635E-2</v>
      </c>
      <c r="X8" s="37">
        <v>2.7014531477592016E-2</v>
      </c>
      <c r="Y8" s="37">
        <v>2.3490038949580707E-2</v>
      </c>
      <c r="Z8" s="37">
        <v>9.9860233677589408E-2</v>
      </c>
      <c r="AA8" s="37">
        <v>5.3060407160915236E-2</v>
      </c>
      <c r="AB8" s="63">
        <f>SUM(L8:AA8)</f>
        <v>1</v>
      </c>
    </row>
    <row r="9" spans="1:28" ht="16.899999999999999" customHeight="1">
      <c r="A9" s="1208"/>
      <c r="B9" s="389">
        <v>6</v>
      </c>
      <c r="C9" s="759">
        <v>0.25913263103799616</v>
      </c>
      <c r="D9" s="759">
        <v>0.51290524566795259</v>
      </c>
      <c r="E9" s="759">
        <v>9.33108676764315E-2</v>
      </c>
      <c r="F9" s="759">
        <v>0.12085165577232859</v>
      </c>
      <c r="G9" s="330"/>
      <c r="H9" s="63">
        <f t="shared" si="0"/>
        <v>0.98620040015470889</v>
      </c>
      <c r="J9" s="1207"/>
      <c r="K9" s="37" t="s">
        <v>591</v>
      </c>
      <c r="L9" s="37">
        <v>1.8085160203674313E-2</v>
      </c>
      <c r="M9" s="37">
        <v>7.9924085394837668E-2</v>
      </c>
      <c r="N9" s="37">
        <v>0.11509928411718019</v>
      </c>
      <c r="O9" s="37">
        <v>5.4328457948963259E-2</v>
      </c>
      <c r="P9" s="37">
        <v>1.7749737884117388E-2</v>
      </c>
      <c r="Q9" s="37">
        <v>6.4184734229169885E-2</v>
      </c>
      <c r="R9" s="37">
        <v>7.0432384127281755E-2</v>
      </c>
      <c r="S9" s="37">
        <v>9.5454830064272078E-2</v>
      </c>
      <c r="T9" s="37">
        <v>0.1070794981815807</v>
      </c>
      <c r="U9" s="37">
        <v>9.1272999540201336E-2</v>
      </c>
      <c r="V9" s="37">
        <v>2.6042865133543928E-2</v>
      </c>
      <c r="W9" s="37">
        <v>0.10232166507429306</v>
      </c>
      <c r="X9" s="37">
        <v>3.0736641353317502E-2</v>
      </c>
      <c r="Y9" s="37">
        <v>1.8398037491469295E-2</v>
      </c>
      <c r="Z9" s="37">
        <v>4.5730096613857629E-2</v>
      </c>
      <c r="AA9" s="37">
        <v>6.3159522642240062E-2</v>
      </c>
      <c r="AB9" s="31"/>
    </row>
    <row r="10" spans="1:28" ht="16.899999999999999" customHeight="1">
      <c r="A10" s="1208"/>
      <c r="B10" s="389">
        <v>7</v>
      </c>
      <c r="C10" s="759">
        <v>0.16969140640305824</v>
      </c>
      <c r="D10" s="759">
        <v>0.41183711652553567</v>
      </c>
      <c r="E10" s="759">
        <v>0.1709133053189805</v>
      </c>
      <c r="F10" s="759">
        <v>0.24342970289825669</v>
      </c>
      <c r="G10" s="330"/>
      <c r="H10" s="63">
        <f t="shared" si="0"/>
        <v>0.99587153114583116</v>
      </c>
      <c r="J10" s="13"/>
      <c r="K10" s="61"/>
      <c r="L10" s="29"/>
      <c r="M10" s="29"/>
      <c r="N10" s="29"/>
      <c r="O10" s="29"/>
      <c r="P10" s="62"/>
    </row>
    <row r="11" spans="1:28" ht="16.899999999999999" customHeight="1">
      <c r="A11" s="1208"/>
      <c r="B11" s="389">
        <v>8</v>
      </c>
      <c r="C11" s="759">
        <v>0.24346753478570579</v>
      </c>
      <c r="D11" s="759">
        <v>0.51509884832280295</v>
      </c>
      <c r="E11" s="759">
        <v>8.8745583253284729E-2</v>
      </c>
      <c r="F11" s="759">
        <v>0.1307014721797406</v>
      </c>
      <c r="G11" s="330"/>
      <c r="H11" s="63">
        <f t="shared" si="0"/>
        <v>0.97801343854153411</v>
      </c>
      <c r="J11" s="13"/>
      <c r="K11" s="61"/>
      <c r="L11" s="29"/>
      <c r="M11" s="29"/>
      <c r="N11" s="29"/>
      <c r="O11" s="29"/>
      <c r="P11" s="62"/>
    </row>
    <row r="12" spans="1:28" ht="16.899999999999999" customHeight="1">
      <c r="A12" s="1208"/>
      <c r="B12" s="389">
        <v>9</v>
      </c>
      <c r="C12" s="759">
        <v>0.24470517328808136</v>
      </c>
      <c r="D12" s="759">
        <v>0.52355667380454529</v>
      </c>
      <c r="E12" s="759">
        <v>9.6572223221919412E-2</v>
      </c>
      <c r="F12" s="759">
        <v>0.122397876026604</v>
      </c>
      <c r="G12" s="330"/>
      <c r="H12" s="63">
        <f t="shared" si="0"/>
        <v>0.98723194634115008</v>
      </c>
      <c r="J12" s="13"/>
      <c r="K12" s="61"/>
      <c r="L12" s="29"/>
      <c r="M12" s="29"/>
      <c r="N12" s="29"/>
      <c r="O12" s="29"/>
      <c r="P12" s="62"/>
    </row>
    <row r="13" spans="1:28" ht="16.899999999999999" customHeight="1">
      <c r="A13" s="1208"/>
      <c r="B13" s="389">
        <v>10</v>
      </c>
      <c r="C13" s="759">
        <v>0.1166566197200721</v>
      </c>
      <c r="D13" s="759">
        <v>0.53405902826980833</v>
      </c>
      <c r="E13" s="759">
        <v>0.20784241326648165</v>
      </c>
      <c r="F13" s="759">
        <v>0.12942087682657497</v>
      </c>
      <c r="G13" s="330"/>
      <c r="H13" s="63">
        <f t="shared" si="0"/>
        <v>0.98797893808293713</v>
      </c>
      <c r="J13" s="13"/>
      <c r="K13" s="61"/>
      <c r="L13" s="29"/>
      <c r="M13" s="29"/>
      <c r="N13" s="29"/>
      <c r="O13" s="29"/>
      <c r="P13" s="62"/>
    </row>
    <row r="14" spans="1:28" ht="16.899999999999999" customHeight="1">
      <c r="A14" s="1208"/>
      <c r="B14" s="389">
        <v>11</v>
      </c>
      <c r="C14" s="759">
        <v>0.21509098587043146</v>
      </c>
      <c r="D14" s="759">
        <v>0.4637190712962635</v>
      </c>
      <c r="E14" s="759">
        <v>0.202846408454396</v>
      </c>
      <c r="F14" s="759">
        <v>0.1108081752416515</v>
      </c>
      <c r="G14" s="330"/>
      <c r="H14" s="63">
        <f t="shared" si="0"/>
        <v>0.99246464086274255</v>
      </c>
      <c r="J14" s="13"/>
      <c r="K14" s="61"/>
      <c r="L14" s="29"/>
      <c r="M14" s="29"/>
      <c r="N14" s="29"/>
      <c r="O14" s="29"/>
      <c r="P14" s="62"/>
    </row>
    <row r="15" spans="1:28" ht="16.899999999999999" customHeight="1">
      <c r="A15" s="1208"/>
      <c r="B15" s="389">
        <v>12</v>
      </c>
      <c r="C15" s="759">
        <v>0.29831502622316769</v>
      </c>
      <c r="D15" s="759">
        <v>0.33090774312637378</v>
      </c>
      <c r="E15" s="759">
        <v>0.24477134370290504</v>
      </c>
      <c r="F15" s="759">
        <v>0.12297530869913648</v>
      </c>
      <c r="G15" s="330"/>
      <c r="H15" s="63">
        <f t="shared" si="0"/>
        <v>0.99696942175158298</v>
      </c>
      <c r="J15" s="13"/>
      <c r="K15" s="61"/>
      <c r="L15" s="29"/>
      <c r="M15" s="29"/>
      <c r="N15" s="29"/>
      <c r="O15" s="29"/>
      <c r="P15" s="62"/>
    </row>
    <row r="16" spans="1:28" ht="16.899999999999999" customHeight="1">
      <c r="A16" s="1208"/>
      <c r="B16" s="389">
        <v>13</v>
      </c>
      <c r="C16" s="759">
        <v>0.31943643110330538</v>
      </c>
      <c r="D16" s="759">
        <v>0.3406024437674165</v>
      </c>
      <c r="E16" s="759">
        <v>0.15733249282629022</v>
      </c>
      <c r="F16" s="759">
        <v>0.17708161637154834</v>
      </c>
      <c r="G16" s="330"/>
      <c r="H16" s="63">
        <f t="shared" si="0"/>
        <v>0.99445298406856053</v>
      </c>
      <c r="J16" s="13"/>
      <c r="K16" s="61"/>
      <c r="L16" s="29"/>
      <c r="M16" s="29"/>
      <c r="N16" s="29"/>
      <c r="O16" s="29"/>
      <c r="P16" s="62"/>
    </row>
    <row r="17" spans="1:16" ht="16.899999999999999" customHeight="1">
      <c r="A17" s="1208"/>
      <c r="B17" s="389">
        <v>14</v>
      </c>
      <c r="C17" s="759">
        <v>0.1611922440508837</v>
      </c>
      <c r="D17" s="759">
        <v>0.49063531678976069</v>
      </c>
      <c r="E17" s="759">
        <v>0.23689383217127419</v>
      </c>
      <c r="F17" s="759">
        <v>9.9572787368681706E-2</v>
      </c>
      <c r="G17" s="330"/>
      <c r="H17" s="63">
        <f t="shared" si="0"/>
        <v>0.98829418038060035</v>
      </c>
      <c r="J17" s="13"/>
      <c r="K17" s="61"/>
      <c r="L17" s="29"/>
      <c r="M17" s="29"/>
      <c r="N17" s="29"/>
      <c r="O17" s="29"/>
      <c r="P17" s="62"/>
    </row>
    <row r="18" spans="1:16" ht="16.899999999999999" customHeight="1">
      <c r="A18" s="1208"/>
      <c r="B18" s="389">
        <v>15</v>
      </c>
      <c r="C18" s="759">
        <v>0.10702771562190011</v>
      </c>
      <c r="D18" s="759">
        <v>0.68877583755271721</v>
      </c>
      <c r="E18" s="759">
        <v>0.10721082425433984</v>
      </c>
      <c r="F18" s="759">
        <v>6.2743689742510197E-2</v>
      </c>
      <c r="G18" s="330"/>
      <c r="H18" s="63">
        <f t="shared" si="0"/>
        <v>0.96575806717146728</v>
      </c>
      <c r="J18" s="13"/>
      <c r="K18" s="61"/>
      <c r="L18" s="29"/>
      <c r="M18" s="29"/>
      <c r="N18" s="29"/>
      <c r="O18" s="29"/>
      <c r="P18" s="62"/>
    </row>
    <row r="19" spans="1:16" ht="16.899999999999999" customHeight="1">
      <c r="A19" s="1208"/>
      <c r="B19" s="389">
        <v>16</v>
      </c>
      <c r="C19" s="760">
        <v>0.14701026071275253</v>
      </c>
      <c r="D19" s="760">
        <v>0.45301008549033311</v>
      </c>
      <c r="E19" s="760">
        <v>0.28645492477618351</v>
      </c>
      <c r="F19" s="760">
        <v>0.10845667971490637</v>
      </c>
      <c r="G19" s="330"/>
      <c r="H19" s="63">
        <f t="shared" si="0"/>
        <v>0.9949319506941755</v>
      </c>
      <c r="J19" s="13"/>
      <c r="K19" s="61"/>
      <c r="L19" s="29"/>
      <c r="M19" s="29"/>
      <c r="N19" s="29"/>
      <c r="O19" s="29"/>
      <c r="P19" s="62"/>
    </row>
    <row r="20" spans="1:16">
      <c r="A20" s="1208"/>
      <c r="B20" s="330" t="s">
        <v>813</v>
      </c>
      <c r="C20" s="330">
        <v>0.32246113411069249</v>
      </c>
      <c r="D20" s="330">
        <v>0.38251889885646384</v>
      </c>
      <c r="E20" s="330">
        <v>0.1844733630526644</v>
      </c>
      <c r="F20" s="330">
        <v>0.1038735405680784</v>
      </c>
      <c r="G20" s="330"/>
    </row>
    <row r="22" spans="1:16">
      <c r="A22" s="10" t="s">
        <v>814</v>
      </c>
    </row>
    <row r="23" spans="1:16">
      <c r="A23" s="10" t="s">
        <v>806</v>
      </c>
    </row>
    <row r="24" spans="1:16">
      <c r="A24" s="10" t="s">
        <v>807</v>
      </c>
    </row>
    <row r="28" spans="1:16">
      <c r="I28" s="772"/>
      <c r="J28" s="772"/>
      <c r="K28" s="772"/>
      <c r="L28" s="772"/>
      <c r="M28" s="29"/>
    </row>
    <row r="29" spans="1:16" s="24" customFormat="1" hidden="1">
      <c r="A29" s="24" t="s">
        <v>95</v>
      </c>
      <c r="C29" s="11"/>
      <c r="D29" s="11"/>
      <c r="E29" s="773"/>
      <c r="F29" s="774"/>
      <c r="G29" s="775"/>
      <c r="H29" s="11"/>
      <c r="I29" s="11"/>
      <c r="J29" s="11"/>
      <c r="K29" s="11"/>
      <c r="L29" s="11"/>
      <c r="M29" s="11"/>
      <c r="N29" s="11"/>
      <c r="O29" s="11"/>
    </row>
    <row r="30" spans="1:16">
      <c r="C30" s="30"/>
      <c r="D30" s="30"/>
      <c r="E30" s="30"/>
      <c r="F30" s="30"/>
      <c r="I30" s="29"/>
      <c r="J30" s="29"/>
      <c r="K30" s="29"/>
      <c r="L30" s="29"/>
      <c r="M30" s="62"/>
    </row>
    <row r="31" spans="1:16">
      <c r="C31" s="30"/>
      <c r="D31" s="30"/>
      <c r="E31" s="30"/>
      <c r="F31" s="30"/>
      <c r="I31" s="29"/>
      <c r="J31" s="29"/>
      <c r="K31" s="29"/>
      <c r="L31" s="29"/>
      <c r="M31" s="62"/>
    </row>
    <row r="32" spans="1:16">
      <c r="A32" s="313"/>
      <c r="B32" s="313"/>
      <c r="C32" s="30"/>
      <c r="D32" s="30"/>
      <c r="E32" s="30"/>
      <c r="F32" s="30"/>
      <c r="G32" s="35"/>
      <c r="H32" s="776"/>
      <c r="I32" s="29"/>
      <c r="J32" s="29"/>
      <c r="K32" s="29"/>
      <c r="L32" s="29"/>
      <c r="M32" s="62"/>
    </row>
    <row r="33" spans="1:13">
      <c r="A33" s="329"/>
      <c r="B33" s="43"/>
      <c r="C33" s="30"/>
      <c r="D33" s="30"/>
      <c r="E33" s="30"/>
      <c r="F33" s="30"/>
      <c r="G33" s="777"/>
      <c r="H33" s="777"/>
      <c r="I33" s="29"/>
      <c r="J33" s="29"/>
      <c r="K33" s="29"/>
      <c r="L33" s="29"/>
      <c r="M33" s="62"/>
    </row>
    <row r="34" spans="1:13">
      <c r="A34" s="329"/>
      <c r="B34" s="43"/>
      <c r="C34" s="30"/>
      <c r="D34" s="30"/>
      <c r="E34" s="30"/>
      <c r="F34" s="30"/>
      <c r="G34" s="777"/>
      <c r="H34" s="777"/>
      <c r="I34" s="29"/>
      <c r="J34" s="29"/>
      <c r="K34" s="29"/>
      <c r="L34" s="29"/>
      <c r="M34" s="62"/>
    </row>
    <row r="35" spans="1:13">
      <c r="A35" s="329"/>
      <c r="B35" s="43"/>
      <c r="C35" s="30"/>
      <c r="D35" s="30"/>
      <c r="E35" s="30"/>
      <c r="F35" s="30"/>
      <c r="G35" s="777"/>
      <c r="H35" s="777"/>
      <c r="I35" s="29"/>
      <c r="J35" s="29"/>
      <c r="K35" s="29"/>
      <c r="L35" s="29"/>
      <c r="M35" s="62"/>
    </row>
    <row r="36" spans="1:13">
      <c r="A36" s="329"/>
      <c r="B36" s="43"/>
      <c r="C36" s="30"/>
      <c r="D36" s="30"/>
      <c r="E36" s="30"/>
      <c r="F36" s="30"/>
      <c r="G36" s="777"/>
      <c r="H36" s="777"/>
      <c r="I36" s="29"/>
      <c r="J36" s="29"/>
      <c r="K36" s="29"/>
      <c r="L36" s="29"/>
      <c r="M36" s="62"/>
    </row>
    <row r="37" spans="1:13">
      <c r="A37" s="329"/>
      <c r="B37" s="43"/>
      <c r="C37" s="30"/>
      <c r="D37" s="30"/>
      <c r="E37" s="30"/>
      <c r="F37" s="30"/>
      <c r="G37" s="777"/>
      <c r="H37" s="777"/>
      <c r="I37" s="29"/>
      <c r="J37" s="29"/>
      <c r="K37" s="29"/>
      <c r="L37" s="29"/>
      <c r="M37" s="62"/>
    </row>
    <row r="38" spans="1:13">
      <c r="A38" s="329"/>
      <c r="B38" s="43"/>
      <c r="C38" s="30"/>
      <c r="D38" s="30"/>
      <c r="E38" s="30"/>
      <c r="F38" s="30"/>
      <c r="G38" s="777"/>
      <c r="H38" s="777"/>
      <c r="I38" s="29"/>
      <c r="J38" s="29"/>
      <c r="K38" s="29"/>
      <c r="L38" s="29"/>
      <c r="M38" s="62"/>
    </row>
    <row r="39" spans="1:13">
      <c r="A39" s="329"/>
      <c r="B39" s="43"/>
      <c r="C39" s="30"/>
      <c r="D39" s="30"/>
      <c r="E39" s="30"/>
      <c r="F39" s="30"/>
      <c r="G39" s="777"/>
      <c r="H39" s="777"/>
      <c r="I39" s="29"/>
      <c r="J39" s="29"/>
      <c r="K39" s="29"/>
      <c r="L39" s="29"/>
      <c r="M39" s="62"/>
    </row>
    <row r="40" spans="1:13">
      <c r="A40" s="329"/>
      <c r="B40" s="43"/>
      <c r="C40" s="30"/>
      <c r="D40" s="30"/>
      <c r="E40" s="30"/>
      <c r="F40" s="30"/>
      <c r="G40" s="777"/>
      <c r="H40" s="777"/>
      <c r="I40" s="29"/>
      <c r="J40" s="29"/>
      <c r="K40" s="29"/>
      <c r="L40" s="29"/>
      <c r="M40" s="62"/>
    </row>
    <row r="41" spans="1:13">
      <c r="A41" s="329"/>
      <c r="B41" s="43"/>
      <c r="C41" s="30"/>
      <c r="D41" s="30"/>
      <c r="E41" s="30"/>
      <c r="F41" s="30"/>
      <c r="G41" s="777"/>
      <c r="H41" s="777"/>
      <c r="I41" s="29"/>
      <c r="J41" s="29"/>
      <c r="K41" s="29"/>
      <c r="L41" s="29"/>
      <c r="M41" s="62"/>
    </row>
    <row r="42" spans="1:13">
      <c r="A42" s="329"/>
      <c r="B42" s="43"/>
      <c r="C42" s="30"/>
      <c r="D42" s="30"/>
      <c r="E42" s="30"/>
      <c r="F42" s="30"/>
      <c r="G42" s="777"/>
      <c r="H42" s="777"/>
      <c r="I42" s="29"/>
      <c r="J42" s="29"/>
      <c r="K42" s="29"/>
      <c r="L42" s="29"/>
      <c r="M42" s="62"/>
    </row>
    <row r="43" spans="1:13">
      <c r="A43" s="329"/>
      <c r="B43" s="43"/>
      <c r="C43" s="30"/>
      <c r="D43" s="30"/>
      <c r="E43" s="30"/>
      <c r="F43" s="30"/>
      <c r="G43" s="777"/>
      <c r="H43" s="777"/>
      <c r="I43" s="29"/>
      <c r="J43" s="29"/>
      <c r="K43" s="29"/>
      <c r="L43" s="29"/>
      <c r="M43" s="62"/>
    </row>
    <row r="44" spans="1:13">
      <c r="A44" s="329"/>
      <c r="B44" s="43"/>
      <c r="C44" s="30"/>
      <c r="D44" s="30"/>
      <c r="E44" s="30"/>
      <c r="F44" s="30"/>
      <c r="G44" s="777"/>
      <c r="H44" s="777"/>
      <c r="I44" s="29"/>
      <c r="J44" s="29"/>
      <c r="K44" s="29"/>
      <c r="L44" s="29"/>
      <c r="M44" s="62"/>
    </row>
    <row r="45" spans="1:13">
      <c r="A45" s="329"/>
      <c r="B45" s="43"/>
      <c r="C45" s="30"/>
      <c r="D45" s="30"/>
      <c r="E45" s="30"/>
      <c r="F45" s="30"/>
      <c r="G45" s="777"/>
      <c r="H45" s="777"/>
      <c r="I45" s="62"/>
      <c r="J45" s="62"/>
      <c r="K45" s="62"/>
      <c r="L45" s="62"/>
      <c r="M45" s="62"/>
    </row>
    <row r="46" spans="1:13">
      <c r="A46" s="329"/>
      <c r="B46" s="43"/>
      <c r="C46" s="30"/>
      <c r="D46" s="30"/>
      <c r="E46" s="30"/>
      <c r="F46" s="30"/>
      <c r="G46" s="777"/>
      <c r="H46" s="777"/>
      <c r="I46" s="62"/>
      <c r="J46" s="62"/>
      <c r="K46" s="62"/>
      <c r="L46" s="62"/>
      <c r="M46" s="62"/>
    </row>
    <row r="47" spans="1:13">
      <c r="A47" s="329"/>
      <c r="B47" s="43"/>
      <c r="C47" s="781"/>
      <c r="D47" s="777"/>
      <c r="E47" s="777"/>
      <c r="F47" s="777"/>
      <c r="G47" s="777"/>
      <c r="H47" s="777"/>
      <c r="I47" s="777"/>
    </row>
    <row r="48" spans="1:13">
      <c r="A48" s="329"/>
      <c r="B48" s="43"/>
      <c r="C48" s="781"/>
      <c r="D48" s="777"/>
      <c r="E48" s="777"/>
      <c r="F48" s="777"/>
      <c r="G48" s="777"/>
      <c r="H48" s="777"/>
      <c r="I48" s="777"/>
    </row>
    <row r="49" spans="1:9">
      <c r="A49" s="329"/>
      <c r="B49" s="43"/>
      <c r="C49" s="781"/>
      <c r="D49" s="79"/>
      <c r="E49" s="79"/>
      <c r="F49" s="79"/>
      <c r="G49" s="79"/>
      <c r="H49" s="79"/>
      <c r="I49" s="79"/>
    </row>
  </sheetData>
  <mergeCells count="10">
    <mergeCell ref="J4:J9"/>
    <mergeCell ref="A4:A20"/>
    <mergeCell ref="J1:AA1"/>
    <mergeCell ref="C2:G2"/>
    <mergeCell ref="L2:AA2"/>
    <mergeCell ref="K2:K3"/>
    <mergeCell ref="J2:J3"/>
    <mergeCell ref="A1:G1"/>
    <mergeCell ref="B2:B3"/>
    <mergeCell ref="A2:A3"/>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C638C3-9269-4523-B14B-D8D22DE74C86}">
  <sheetPr codeName="Sheet14"/>
  <dimension ref="A1:J4"/>
  <sheetViews>
    <sheetView workbookViewId="0"/>
  </sheetViews>
  <sheetFormatPr defaultRowHeight="14.45"/>
  <sheetData>
    <row r="1" spans="1:10" ht="21" customHeight="1">
      <c r="A1" s="901" t="str">
        <f>"PV - "&amp;Prototype!A2</f>
        <v>PV - HotelLarge</v>
      </c>
      <c r="B1" s="901"/>
      <c r="C1" s="901"/>
      <c r="D1" s="901"/>
      <c r="E1" s="901"/>
      <c r="F1" s="901"/>
      <c r="G1" s="901"/>
      <c r="H1" s="901"/>
      <c r="I1" s="901"/>
      <c r="J1" s="901"/>
    </row>
    <row r="2" spans="1:10">
      <c r="A2" s="8" t="s">
        <v>815</v>
      </c>
      <c r="B2" s="8"/>
      <c r="C2" s="8"/>
      <c r="D2" s="8"/>
      <c r="E2" s="8"/>
      <c r="F2" s="8"/>
      <c r="G2" s="8"/>
      <c r="H2" s="8"/>
      <c r="I2" s="8"/>
      <c r="J2" s="8"/>
    </row>
    <row r="3" spans="1:10">
      <c r="A3" s="8"/>
      <c r="B3" s="8"/>
      <c r="C3" s="8"/>
      <c r="D3" s="8"/>
      <c r="E3" s="8"/>
      <c r="F3" s="8"/>
      <c r="G3" s="8"/>
      <c r="H3" s="8"/>
      <c r="I3" s="8"/>
      <c r="J3" s="8"/>
    </row>
    <row r="4" spans="1:10">
      <c r="A4" s="8"/>
      <c r="B4" s="8"/>
      <c r="C4" s="8"/>
      <c r="D4" s="8"/>
      <c r="E4" s="8"/>
      <c r="F4" s="8"/>
      <c r="G4" s="8"/>
      <c r="H4" s="8"/>
      <c r="I4" s="8"/>
      <c r="J4" s="8"/>
    </row>
  </sheetData>
  <mergeCells count="1">
    <mergeCell ref="A1:J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CBB9E4-8E7A-41B8-B067-A47E2307C7E6}">
  <sheetPr codeName="Sheet22"/>
  <dimension ref="A1:H11"/>
  <sheetViews>
    <sheetView zoomScaleNormal="70" workbookViewId="0">
      <selection sqref="A1:H1"/>
    </sheetView>
  </sheetViews>
  <sheetFormatPr defaultColWidth="8.7109375" defaultRowHeight="13.15"/>
  <cols>
    <col min="1" max="1" width="21" style="10" customWidth="1"/>
    <col min="2" max="2" width="14.28515625" style="10" customWidth="1"/>
    <col min="3" max="3" width="14.5703125" style="10" customWidth="1"/>
    <col min="4" max="8" width="8.7109375" style="10"/>
    <col min="9" max="9" width="13.7109375" style="10" customWidth="1"/>
    <col min="10" max="10" width="14.42578125" style="10" customWidth="1"/>
    <col min="11" max="16384" width="8.7109375" style="10"/>
  </cols>
  <sheetData>
    <row r="1" spans="1:8" ht="15.6">
      <c r="A1" s="901" t="str">
        <f>"EV Charger - "&amp;Prototype!A2</f>
        <v>EV Charger - HotelLarge</v>
      </c>
      <c r="B1" s="901"/>
      <c r="C1" s="901"/>
      <c r="D1" s="901"/>
      <c r="E1" s="901"/>
      <c r="F1" s="901"/>
      <c r="G1" s="901"/>
      <c r="H1" s="901"/>
    </row>
    <row r="2" spans="1:8">
      <c r="A2" s="10" t="s">
        <v>815</v>
      </c>
      <c r="B2" s="44"/>
      <c r="C2" s="45"/>
      <c r="D2" s="46"/>
      <c r="E2" s="46"/>
    </row>
    <row r="3" spans="1:8">
      <c r="A3" s="35"/>
      <c r="B3" s="43"/>
      <c r="C3" s="781"/>
      <c r="D3" s="47"/>
      <c r="E3" s="47"/>
    </row>
    <row r="11" spans="1:8" s="24" customFormat="1" hidden="1">
      <c r="A11" s="24" t="s">
        <v>95</v>
      </c>
      <c r="E11" s="25"/>
      <c r="F11" s="26"/>
      <c r="G11" s="27"/>
    </row>
  </sheetData>
  <mergeCells count="1">
    <mergeCell ref="A1:H1"/>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9AE37-0C9D-4A39-A34E-33135BC35028}">
  <sheetPr codeName="Sheet16"/>
  <dimension ref="A1:BB144"/>
  <sheetViews>
    <sheetView workbookViewId="0">
      <pane xSplit="1" ySplit="1" topLeftCell="AZ19" activePane="bottomRight" state="frozen"/>
      <selection pane="bottomRight" activeCell="AZ19" sqref="AZ19"/>
      <selection pane="bottomLeft" activeCell="A3" sqref="A3"/>
      <selection pane="topRight" activeCell="B1" sqref="B1"/>
    </sheetView>
  </sheetViews>
  <sheetFormatPr defaultRowHeight="14.45"/>
  <cols>
    <col min="1" max="1" width="58.7109375" customWidth="1"/>
    <col min="2" max="2" width="43.7109375" customWidth="1"/>
    <col min="3" max="5" width="13.7109375" customWidth="1"/>
    <col min="6" max="8" width="15.42578125" customWidth="1"/>
    <col min="9" max="9" width="11" customWidth="1"/>
    <col min="10" max="10" width="11.140625" customWidth="1"/>
    <col min="11" max="11" width="10.7109375" customWidth="1"/>
    <col min="12" max="12" width="32.140625" customWidth="1"/>
    <col min="15" max="15" width="27.140625" customWidth="1"/>
    <col min="16" max="16" width="30.85546875" customWidth="1"/>
    <col min="18" max="18" width="20.28515625" customWidth="1"/>
    <col min="19" max="19" width="17.28515625" customWidth="1"/>
    <col min="20" max="20" width="16.42578125" customWidth="1"/>
    <col min="21" max="21" width="16.140625" customWidth="1"/>
    <col min="22" max="22" width="20.5703125" customWidth="1"/>
    <col min="23" max="23" width="11.7109375" customWidth="1"/>
    <col min="24" max="24" width="9.28515625" bestFit="1" customWidth="1"/>
    <col min="25" max="25" width="9.42578125" bestFit="1" customWidth="1"/>
    <col min="26" max="26" width="15.85546875" customWidth="1"/>
    <col min="27" max="27" width="12.7109375" customWidth="1"/>
    <col min="33" max="33" width="18.7109375" customWidth="1"/>
    <col min="45" max="45" width="30.28515625" customWidth="1"/>
    <col min="46" max="46" width="38.85546875" customWidth="1"/>
    <col min="47" max="47" width="18.7109375" customWidth="1"/>
    <col min="48" max="48" width="15.42578125" customWidth="1"/>
    <col min="52" max="52" width="41.28515625" customWidth="1"/>
    <col min="53" max="53" width="34.140625" customWidth="1"/>
    <col min="54" max="54" width="41.5703125" customWidth="1"/>
  </cols>
  <sheetData>
    <row r="1" spans="1:54" ht="52.9">
      <c r="A1" s="645" t="s">
        <v>816</v>
      </c>
      <c r="B1" s="645" t="s">
        <v>817</v>
      </c>
      <c r="C1" s="645" t="s">
        <v>542</v>
      </c>
      <c r="D1" s="645" t="s">
        <v>543</v>
      </c>
      <c r="E1" s="645" t="s">
        <v>544</v>
      </c>
      <c r="F1" s="645" t="s">
        <v>660</v>
      </c>
      <c r="G1" s="645" t="s">
        <v>663</v>
      </c>
      <c r="H1" s="645" t="s">
        <v>662</v>
      </c>
      <c r="I1" s="645" t="s">
        <v>818</v>
      </c>
      <c r="J1" s="645" t="s">
        <v>819</v>
      </c>
      <c r="K1" s="645" t="s">
        <v>820</v>
      </c>
      <c r="L1" s="645" t="s">
        <v>576</v>
      </c>
      <c r="AG1" t="s">
        <v>821</v>
      </c>
      <c r="AS1" s="1212" t="s">
        <v>822</v>
      </c>
      <c r="AT1" s="1212"/>
      <c r="AU1" s="1212"/>
      <c r="AV1" s="1212"/>
      <c r="AW1" s="1212"/>
      <c r="AX1" s="1212"/>
      <c r="AY1" s="1212"/>
      <c r="AZ1" s="1212"/>
      <c r="BA1" s="1212"/>
      <c r="BB1" s="1212"/>
    </row>
    <row r="2" spans="1:54" ht="18">
      <c r="A2" s="778" t="s">
        <v>823</v>
      </c>
      <c r="B2" s="778"/>
      <c r="AS2" s="1219">
        <v>2025</v>
      </c>
      <c r="AT2" s="1220"/>
      <c r="AU2" s="1220"/>
      <c r="AV2" s="1220"/>
      <c r="AW2" s="1220"/>
      <c r="AX2" s="1221"/>
      <c r="AZ2" s="1216">
        <v>2013</v>
      </c>
      <c r="BA2" s="1217"/>
      <c r="BB2" s="757">
        <v>2008</v>
      </c>
    </row>
    <row r="3" spans="1:54" ht="15.6">
      <c r="A3" s="778" t="s">
        <v>824</v>
      </c>
      <c r="B3" s="778"/>
      <c r="AS3" s="1218" t="s">
        <v>825</v>
      </c>
      <c r="AT3" s="1218"/>
      <c r="AU3" s="1218"/>
      <c r="AV3" s="1218"/>
      <c r="AW3" s="1218"/>
      <c r="AX3" s="1218"/>
      <c r="AZ3" s="1211" t="s">
        <v>826</v>
      </c>
      <c r="BA3" s="1211"/>
      <c r="BB3" s="756" t="s">
        <v>827</v>
      </c>
    </row>
    <row r="4" spans="1:54" ht="57.6">
      <c r="A4" t="s">
        <v>828</v>
      </c>
      <c r="AS4" s="755" t="s">
        <v>60</v>
      </c>
      <c r="AT4" s="755" t="s">
        <v>829</v>
      </c>
      <c r="AU4" s="755" t="s">
        <v>830</v>
      </c>
      <c r="AV4" s="755" t="s">
        <v>831</v>
      </c>
      <c r="AW4" s="755" t="s">
        <v>832</v>
      </c>
      <c r="AX4" s="836" t="s">
        <v>39</v>
      </c>
      <c r="AZ4" s="755" t="s">
        <v>833</v>
      </c>
      <c r="BA4" s="755" t="s">
        <v>834</v>
      </c>
      <c r="BB4" s="755" t="s">
        <v>834</v>
      </c>
    </row>
    <row r="5" spans="1:54">
      <c r="A5" t="s">
        <v>835</v>
      </c>
      <c r="AS5" s="2" t="s">
        <v>836</v>
      </c>
      <c r="AT5" s="178" t="s">
        <v>837</v>
      </c>
      <c r="AU5" s="178">
        <v>14</v>
      </c>
      <c r="AV5" s="178">
        <v>0.15</v>
      </c>
      <c r="AW5" s="178">
        <v>2</v>
      </c>
      <c r="AX5" s="178" t="s">
        <v>838</v>
      </c>
      <c r="AZ5" s="178" t="s">
        <v>839</v>
      </c>
      <c r="BA5" s="178">
        <v>1.5</v>
      </c>
      <c r="BB5" s="178">
        <v>1.5</v>
      </c>
    </row>
    <row r="6" spans="1:54">
      <c r="A6" t="s">
        <v>840</v>
      </c>
      <c r="AS6" s="2" t="s">
        <v>836</v>
      </c>
      <c r="AT6" s="178" t="s">
        <v>841</v>
      </c>
      <c r="AU6" s="178">
        <v>5</v>
      </c>
      <c r="AV6" s="178">
        <v>0.15</v>
      </c>
      <c r="AW6" s="178">
        <v>3</v>
      </c>
      <c r="AX6" s="178" t="s">
        <v>838</v>
      </c>
      <c r="AZ6" s="178" t="s">
        <v>842</v>
      </c>
      <c r="BA6" s="178">
        <v>0.4</v>
      </c>
      <c r="BB6" s="178">
        <v>0.4</v>
      </c>
    </row>
    <row r="7" spans="1:54">
      <c r="A7" t="s">
        <v>843</v>
      </c>
      <c r="AS7" s="2" t="s">
        <v>836</v>
      </c>
      <c r="AT7" s="178" t="s">
        <v>844</v>
      </c>
      <c r="AU7" s="178">
        <v>25</v>
      </c>
      <c r="AV7" s="178">
        <v>0.15</v>
      </c>
      <c r="AW7" s="178">
        <v>1</v>
      </c>
      <c r="AX7" s="178" t="s">
        <v>838</v>
      </c>
      <c r="AZ7" s="178" t="s">
        <v>845</v>
      </c>
      <c r="BA7" s="178">
        <v>0.2</v>
      </c>
      <c r="BB7" s="178">
        <v>0.2</v>
      </c>
    </row>
    <row r="8" spans="1:54">
      <c r="A8" t="s">
        <v>846</v>
      </c>
      <c r="AS8" s="2" t="s">
        <v>836</v>
      </c>
      <c r="AT8" s="178" t="s">
        <v>847</v>
      </c>
      <c r="AU8" s="178">
        <v>25</v>
      </c>
      <c r="AV8" s="178">
        <v>0.15</v>
      </c>
      <c r="AW8" s="178">
        <v>1</v>
      </c>
      <c r="AX8" s="178" t="s">
        <v>838</v>
      </c>
      <c r="AZ8" s="178" t="s">
        <v>848</v>
      </c>
      <c r="BA8" s="178">
        <v>0.4</v>
      </c>
      <c r="BB8" s="178">
        <v>0.4</v>
      </c>
    </row>
    <row r="9" spans="1:54">
      <c r="A9" t="s">
        <v>849</v>
      </c>
      <c r="AS9" s="2" t="s">
        <v>836</v>
      </c>
      <c r="AT9" s="178" t="s">
        <v>850</v>
      </c>
      <c r="AU9" s="178">
        <v>25</v>
      </c>
      <c r="AV9" s="178">
        <v>0.15</v>
      </c>
      <c r="AW9" s="178">
        <v>1</v>
      </c>
      <c r="AX9" s="178" t="s">
        <v>851</v>
      </c>
      <c r="AZ9" s="178" t="s">
        <v>852</v>
      </c>
      <c r="BA9" s="178">
        <v>0.3</v>
      </c>
      <c r="BB9" s="178">
        <v>0.3</v>
      </c>
    </row>
    <row r="10" spans="1:54">
      <c r="A10" t="s">
        <v>853</v>
      </c>
      <c r="AS10" s="2" t="s">
        <v>836</v>
      </c>
      <c r="AT10" s="178" t="s">
        <v>854</v>
      </c>
      <c r="AU10" s="178">
        <v>71</v>
      </c>
      <c r="AV10" s="178">
        <v>0.15</v>
      </c>
      <c r="AW10" s="178">
        <v>1</v>
      </c>
      <c r="AX10" s="178" t="s">
        <v>851</v>
      </c>
      <c r="AZ10" s="178" t="s">
        <v>855</v>
      </c>
      <c r="BA10" s="178">
        <v>0.45</v>
      </c>
      <c r="BB10" s="178">
        <v>0.45</v>
      </c>
    </row>
    <row r="11" spans="1:54">
      <c r="A11" t="s">
        <v>856</v>
      </c>
      <c r="AS11" s="2" t="s">
        <v>836</v>
      </c>
      <c r="AT11" s="178" t="s">
        <v>857</v>
      </c>
      <c r="AU11" s="178">
        <v>25</v>
      </c>
      <c r="AV11" s="178">
        <v>0.15</v>
      </c>
      <c r="AW11" s="178">
        <v>2</v>
      </c>
      <c r="AX11" s="178" t="s">
        <v>838</v>
      </c>
      <c r="AZ11" s="178" t="s">
        <v>858</v>
      </c>
      <c r="BA11" s="178" t="s">
        <v>859</v>
      </c>
      <c r="BB11" s="178" t="s">
        <v>860</v>
      </c>
    </row>
    <row r="12" spans="1:54">
      <c r="A12" t="s">
        <v>861</v>
      </c>
      <c r="AS12" s="2" t="s">
        <v>836</v>
      </c>
      <c r="AT12" s="178" t="s">
        <v>862</v>
      </c>
      <c r="AU12" s="178">
        <v>25</v>
      </c>
      <c r="AV12" s="178">
        <v>0.15</v>
      </c>
      <c r="AW12" s="178">
        <v>2</v>
      </c>
      <c r="AX12" s="178" t="s">
        <v>838</v>
      </c>
      <c r="AZ12" s="178" t="s">
        <v>863</v>
      </c>
      <c r="BA12" s="178" t="s">
        <v>864</v>
      </c>
      <c r="BB12" s="178" t="s">
        <v>864</v>
      </c>
    </row>
    <row r="13" spans="1:54">
      <c r="A13" t="s">
        <v>865</v>
      </c>
      <c r="AS13" s="2" t="s">
        <v>836</v>
      </c>
      <c r="AT13" s="178" t="s">
        <v>866</v>
      </c>
      <c r="AU13" s="178">
        <v>25</v>
      </c>
      <c r="AV13" s="178">
        <v>0.15</v>
      </c>
      <c r="AW13" s="178">
        <v>2</v>
      </c>
      <c r="AX13" s="178" t="s">
        <v>838</v>
      </c>
      <c r="AZ13" s="178" t="s">
        <v>867</v>
      </c>
      <c r="BA13" s="178">
        <v>0.15</v>
      </c>
      <c r="BB13" s="178">
        <v>0.15</v>
      </c>
    </row>
    <row r="14" spans="1:54">
      <c r="A14" t="s">
        <v>868</v>
      </c>
      <c r="AS14" s="2" t="s">
        <v>836</v>
      </c>
      <c r="AT14" s="178" t="s">
        <v>869</v>
      </c>
      <c r="AU14" s="178">
        <v>10</v>
      </c>
      <c r="AV14" s="178">
        <v>0.15</v>
      </c>
      <c r="AW14" s="178">
        <v>2</v>
      </c>
      <c r="AX14" s="178" t="s">
        <v>838</v>
      </c>
      <c r="AZ14" s="178" t="s">
        <v>870</v>
      </c>
      <c r="BA14" s="178">
        <v>0.2</v>
      </c>
      <c r="BB14" s="178">
        <v>0.2</v>
      </c>
    </row>
    <row r="15" spans="1:54">
      <c r="A15" t="s">
        <v>871</v>
      </c>
      <c r="AS15" s="2" t="s">
        <v>836</v>
      </c>
      <c r="AT15" s="178" t="s">
        <v>872</v>
      </c>
      <c r="AU15" s="178">
        <v>25</v>
      </c>
      <c r="AV15" s="178">
        <v>0.15</v>
      </c>
      <c r="AW15" s="178">
        <v>1</v>
      </c>
      <c r="AX15" s="178" t="s">
        <v>838</v>
      </c>
      <c r="AZ15" s="178" t="s">
        <v>873</v>
      </c>
      <c r="BA15" s="178">
        <v>0.15</v>
      </c>
      <c r="BB15" s="178">
        <v>0.15</v>
      </c>
    </row>
    <row r="16" spans="1:54">
      <c r="A16" t="s">
        <v>874</v>
      </c>
      <c r="AS16" s="2" t="s">
        <v>836</v>
      </c>
      <c r="AT16" s="178" t="s">
        <v>875</v>
      </c>
      <c r="AU16" s="178">
        <v>25</v>
      </c>
      <c r="AV16" s="178">
        <v>0.15</v>
      </c>
      <c r="AW16" s="178">
        <v>1</v>
      </c>
      <c r="AX16" s="178" t="s">
        <v>876</v>
      </c>
    </row>
    <row r="17" spans="1:54">
      <c r="A17" t="s">
        <v>179</v>
      </c>
      <c r="AS17" s="2" t="s">
        <v>836</v>
      </c>
      <c r="AT17" s="178" t="s">
        <v>877</v>
      </c>
      <c r="AU17" s="178">
        <v>33</v>
      </c>
      <c r="AV17" s="178">
        <v>0.15</v>
      </c>
      <c r="AW17" s="178">
        <v>1</v>
      </c>
      <c r="AX17" s="178" t="s">
        <v>851</v>
      </c>
    </row>
    <row r="18" spans="1:54">
      <c r="A18" t="s">
        <v>878</v>
      </c>
      <c r="AS18" s="2" t="s">
        <v>836</v>
      </c>
      <c r="AT18" s="178" t="s">
        <v>879</v>
      </c>
      <c r="AU18" s="178">
        <v>33</v>
      </c>
      <c r="AV18" s="178">
        <v>0.15</v>
      </c>
      <c r="AW18" s="178">
        <v>1</v>
      </c>
      <c r="AX18" s="178" t="s">
        <v>851</v>
      </c>
      <c r="BA18" s="5"/>
      <c r="BB18" s="5"/>
    </row>
    <row r="19" spans="1:54">
      <c r="A19" t="s">
        <v>213</v>
      </c>
      <c r="AS19" s="2" t="s">
        <v>880</v>
      </c>
      <c r="AT19" s="178" t="s">
        <v>881</v>
      </c>
      <c r="AU19" s="178">
        <v>33</v>
      </c>
      <c r="AV19" s="178">
        <v>0.15</v>
      </c>
      <c r="AW19" s="178">
        <v>2</v>
      </c>
      <c r="AX19" s="178" t="s">
        <v>838</v>
      </c>
    </row>
    <row r="20" spans="1:54">
      <c r="A20" t="s">
        <v>221</v>
      </c>
      <c r="AS20" s="2" t="s">
        <v>880</v>
      </c>
      <c r="AT20" s="178" t="s">
        <v>882</v>
      </c>
      <c r="AU20" s="178">
        <v>33</v>
      </c>
      <c r="AV20" s="178">
        <v>0.15</v>
      </c>
      <c r="AW20" s="178">
        <v>2</v>
      </c>
      <c r="AX20" s="178" t="s">
        <v>838</v>
      </c>
    </row>
    <row r="21" spans="1:54">
      <c r="A21" t="s">
        <v>198</v>
      </c>
      <c r="AS21" s="2" t="s">
        <v>880</v>
      </c>
      <c r="AT21" s="178" t="s">
        <v>883</v>
      </c>
      <c r="AU21" s="178">
        <v>33</v>
      </c>
      <c r="AV21" s="178">
        <v>0.2</v>
      </c>
      <c r="AW21" s="178">
        <v>2</v>
      </c>
      <c r="AX21" s="178" t="s">
        <v>838</v>
      </c>
    </row>
    <row r="22" spans="1:54">
      <c r="A22" t="s">
        <v>884</v>
      </c>
      <c r="AS22" s="2" t="s">
        <v>880</v>
      </c>
      <c r="AT22" s="178" t="s">
        <v>885</v>
      </c>
      <c r="AU22" s="178">
        <v>3</v>
      </c>
      <c r="AV22" s="178">
        <v>0.15</v>
      </c>
      <c r="AW22" s="178">
        <v>2</v>
      </c>
      <c r="AX22" s="178" t="s">
        <v>838</v>
      </c>
    </row>
    <row r="23" spans="1:54">
      <c r="A23" t="s">
        <v>193</v>
      </c>
      <c r="AS23" s="2" t="s">
        <v>886</v>
      </c>
      <c r="AT23" s="178" t="s">
        <v>887</v>
      </c>
      <c r="AU23" s="178">
        <v>33</v>
      </c>
      <c r="AV23" s="178">
        <v>0.15</v>
      </c>
      <c r="AW23" s="178">
        <v>1</v>
      </c>
      <c r="AX23" s="178" t="s">
        <v>851</v>
      </c>
    </row>
    <row r="24" spans="1:54">
      <c r="A24" t="s">
        <v>888</v>
      </c>
      <c r="AS24" s="2" t="s">
        <v>886</v>
      </c>
      <c r="AT24" s="178" t="s">
        <v>889</v>
      </c>
      <c r="AU24" s="178">
        <v>33</v>
      </c>
      <c r="AV24" s="178">
        <v>0.15</v>
      </c>
      <c r="AW24" s="178">
        <v>1</v>
      </c>
      <c r="AX24" s="178" t="s">
        <v>851</v>
      </c>
    </row>
    <row r="25" spans="1:54">
      <c r="A25" t="s">
        <v>890</v>
      </c>
      <c r="AS25" s="2" t="s">
        <v>886</v>
      </c>
      <c r="AT25" s="178" t="s">
        <v>891</v>
      </c>
      <c r="AU25" s="178">
        <v>33</v>
      </c>
      <c r="AV25" s="178">
        <v>0.15</v>
      </c>
      <c r="AW25" s="178">
        <v>1</v>
      </c>
      <c r="AX25" s="178" t="s">
        <v>851</v>
      </c>
    </row>
    <row r="26" spans="1:54">
      <c r="A26" t="s">
        <v>892</v>
      </c>
      <c r="AS26" s="2" t="s">
        <v>886</v>
      </c>
      <c r="AT26" s="178" t="s">
        <v>511</v>
      </c>
      <c r="AU26" s="178">
        <v>5</v>
      </c>
      <c r="AV26" s="178">
        <v>0.15</v>
      </c>
      <c r="AW26" s="178">
        <v>1</v>
      </c>
      <c r="AX26" s="178" t="s">
        <v>851</v>
      </c>
    </row>
    <row r="27" spans="1:54">
      <c r="A27" t="s">
        <v>893</v>
      </c>
      <c r="AS27" s="2" t="s">
        <v>886</v>
      </c>
      <c r="AT27" s="178" t="s">
        <v>894</v>
      </c>
      <c r="AU27" s="178">
        <v>2</v>
      </c>
      <c r="AV27" s="178">
        <v>0.15</v>
      </c>
      <c r="AW27" s="178">
        <v>2</v>
      </c>
      <c r="AX27" s="178" t="s">
        <v>895</v>
      </c>
    </row>
    <row r="28" spans="1:54">
      <c r="A28" t="s">
        <v>896</v>
      </c>
      <c r="AS28" s="178" t="s">
        <v>897</v>
      </c>
      <c r="AT28" s="178" t="s">
        <v>898</v>
      </c>
      <c r="AU28" s="178">
        <v>3</v>
      </c>
      <c r="AV28" s="178">
        <v>0.15</v>
      </c>
      <c r="AW28" s="178">
        <v>1</v>
      </c>
      <c r="AX28" s="178" t="s">
        <v>851</v>
      </c>
    </row>
    <row r="29" spans="1:54">
      <c r="A29" t="s">
        <v>899</v>
      </c>
      <c r="AS29" s="178" t="s">
        <v>897</v>
      </c>
      <c r="AT29" s="178" t="s">
        <v>900</v>
      </c>
      <c r="AU29" s="178">
        <v>5</v>
      </c>
      <c r="AV29" s="178">
        <v>0.15</v>
      </c>
      <c r="AW29" s="178">
        <v>1</v>
      </c>
      <c r="AX29" s="178" t="s">
        <v>851</v>
      </c>
    </row>
    <row r="30" spans="1:54">
      <c r="A30" t="s">
        <v>901</v>
      </c>
      <c r="AS30" s="178" t="s">
        <v>897</v>
      </c>
      <c r="AT30" s="178" t="s">
        <v>902</v>
      </c>
      <c r="AU30" s="178">
        <v>5</v>
      </c>
      <c r="AV30" s="178">
        <v>0.15</v>
      </c>
      <c r="AW30" s="178">
        <v>2</v>
      </c>
      <c r="AX30" s="178" t="s">
        <v>838</v>
      </c>
    </row>
    <row r="31" spans="1:54">
      <c r="A31" t="s">
        <v>903</v>
      </c>
      <c r="AS31" s="178" t="s">
        <v>897</v>
      </c>
      <c r="AT31" s="178" t="s">
        <v>904</v>
      </c>
      <c r="AU31" s="178">
        <v>5</v>
      </c>
      <c r="AV31" s="178">
        <v>0.15</v>
      </c>
      <c r="AW31" s="178">
        <v>1</v>
      </c>
      <c r="AX31" s="178" t="s">
        <v>838</v>
      </c>
    </row>
    <row r="32" spans="1:54">
      <c r="A32" t="s">
        <v>905</v>
      </c>
      <c r="AS32" s="178" t="s">
        <v>897</v>
      </c>
      <c r="AT32" s="178" t="s">
        <v>906</v>
      </c>
      <c r="AU32" s="178">
        <v>33</v>
      </c>
      <c r="AV32" s="178">
        <v>0.15</v>
      </c>
      <c r="AW32" s="178">
        <v>1</v>
      </c>
      <c r="AX32" s="178" t="s">
        <v>851</v>
      </c>
    </row>
    <row r="33" spans="1:50">
      <c r="A33" t="s">
        <v>907</v>
      </c>
      <c r="AS33" s="178" t="s">
        <v>897</v>
      </c>
      <c r="AT33" s="178" t="s">
        <v>908</v>
      </c>
      <c r="AU33" s="178">
        <v>33</v>
      </c>
      <c r="AV33" s="178">
        <v>0.15</v>
      </c>
      <c r="AW33" s="178">
        <v>1</v>
      </c>
      <c r="AX33" s="178" t="s">
        <v>851</v>
      </c>
    </row>
    <row r="34" spans="1:50">
      <c r="A34" t="s">
        <v>909</v>
      </c>
      <c r="AS34" s="178" t="s">
        <v>910</v>
      </c>
      <c r="AT34" s="178" t="s">
        <v>911</v>
      </c>
      <c r="AU34" s="178">
        <v>5</v>
      </c>
      <c r="AV34" s="178">
        <v>0.15</v>
      </c>
      <c r="AW34" s="178">
        <v>2</v>
      </c>
      <c r="AX34" s="178" t="s">
        <v>851</v>
      </c>
    </row>
    <row r="35" spans="1:50">
      <c r="A35" t="s">
        <v>218</v>
      </c>
      <c r="AS35" s="178" t="s">
        <v>910</v>
      </c>
      <c r="AT35" s="178" t="s">
        <v>912</v>
      </c>
      <c r="AU35" s="178">
        <v>5</v>
      </c>
      <c r="AV35" s="178">
        <v>0.15</v>
      </c>
      <c r="AW35" s="178">
        <v>1</v>
      </c>
      <c r="AX35" s="178" t="s">
        <v>851</v>
      </c>
    </row>
    <row r="36" spans="1:50">
      <c r="A36" t="s">
        <v>224</v>
      </c>
      <c r="AS36" s="178" t="s">
        <v>910</v>
      </c>
      <c r="AT36" s="178" t="s">
        <v>913</v>
      </c>
      <c r="AU36" s="178">
        <v>5</v>
      </c>
      <c r="AV36" s="178">
        <v>0.15</v>
      </c>
      <c r="AW36" s="178">
        <v>1</v>
      </c>
      <c r="AX36" s="178" t="s">
        <v>851</v>
      </c>
    </row>
    <row r="37" spans="1:50">
      <c r="A37" t="s">
        <v>914</v>
      </c>
      <c r="AS37" s="178" t="s">
        <v>910</v>
      </c>
      <c r="AT37" s="178" t="s">
        <v>915</v>
      </c>
      <c r="AU37" s="178">
        <v>0</v>
      </c>
      <c r="AV37" s="178">
        <v>0</v>
      </c>
      <c r="AW37" s="178">
        <v>2</v>
      </c>
      <c r="AX37" s="178" t="s">
        <v>916</v>
      </c>
    </row>
    <row r="38" spans="1:50">
      <c r="A38" t="s">
        <v>917</v>
      </c>
      <c r="AS38" s="178" t="s">
        <v>910</v>
      </c>
      <c r="AT38" s="178" t="s">
        <v>918</v>
      </c>
      <c r="AU38" s="178">
        <v>33</v>
      </c>
      <c r="AV38" s="178">
        <v>0.15</v>
      </c>
      <c r="AW38" s="178">
        <v>1</v>
      </c>
      <c r="AX38" s="178" t="s">
        <v>838</v>
      </c>
    </row>
    <row r="39" spans="1:50">
      <c r="A39" t="s">
        <v>196</v>
      </c>
      <c r="AS39" s="178" t="s">
        <v>910</v>
      </c>
      <c r="AT39" s="178" t="s">
        <v>919</v>
      </c>
      <c r="AU39" s="178">
        <v>33</v>
      </c>
      <c r="AV39" s="178">
        <v>0.15</v>
      </c>
      <c r="AW39" s="178">
        <v>1</v>
      </c>
      <c r="AX39" s="178" t="s">
        <v>851</v>
      </c>
    </row>
    <row r="40" spans="1:50">
      <c r="A40" t="s">
        <v>920</v>
      </c>
      <c r="AS40" s="178" t="s">
        <v>910</v>
      </c>
      <c r="AT40" s="178" t="s">
        <v>921</v>
      </c>
      <c r="AU40" s="178">
        <v>2</v>
      </c>
      <c r="AV40" s="178">
        <v>0.15</v>
      </c>
      <c r="AW40" s="178">
        <v>1</v>
      </c>
      <c r="AX40" s="178" t="s">
        <v>838</v>
      </c>
    </row>
    <row r="41" spans="1:50">
      <c r="A41" t="s">
        <v>922</v>
      </c>
      <c r="AS41" s="178" t="s">
        <v>910</v>
      </c>
      <c r="AT41" s="178" t="s">
        <v>923</v>
      </c>
      <c r="AU41" s="178">
        <v>5</v>
      </c>
      <c r="AV41" s="178">
        <v>0.15</v>
      </c>
      <c r="AW41" s="178">
        <v>1</v>
      </c>
      <c r="AX41" s="178" t="s">
        <v>851</v>
      </c>
    </row>
    <row r="42" spans="1:50">
      <c r="A42" t="s">
        <v>200</v>
      </c>
      <c r="AS42" s="178" t="s">
        <v>910</v>
      </c>
      <c r="AT42" s="178" t="s">
        <v>924</v>
      </c>
      <c r="AU42" s="178">
        <v>5</v>
      </c>
      <c r="AV42" s="178">
        <v>0.15</v>
      </c>
      <c r="AW42" s="178">
        <v>1</v>
      </c>
      <c r="AX42" s="178" t="s">
        <v>851</v>
      </c>
    </row>
    <row r="43" spans="1:50">
      <c r="A43" t="s">
        <v>925</v>
      </c>
      <c r="AS43" s="178" t="s">
        <v>910</v>
      </c>
      <c r="AT43" s="178" t="s">
        <v>926</v>
      </c>
      <c r="AU43" s="178">
        <v>33</v>
      </c>
      <c r="AV43" s="178">
        <v>0.15</v>
      </c>
      <c r="AW43" s="178">
        <v>1</v>
      </c>
      <c r="AX43" s="178" t="s">
        <v>851</v>
      </c>
    </row>
    <row r="44" spans="1:50">
      <c r="A44" t="s">
        <v>927</v>
      </c>
      <c r="AS44" s="178" t="s">
        <v>928</v>
      </c>
      <c r="AT44" s="178" t="s">
        <v>911</v>
      </c>
      <c r="AU44" s="178">
        <v>5</v>
      </c>
      <c r="AV44" s="178">
        <v>0.15</v>
      </c>
      <c r="AW44" s="178">
        <v>2</v>
      </c>
      <c r="AX44" s="178" t="s">
        <v>851</v>
      </c>
    </row>
    <row r="45" spans="1:50">
      <c r="A45" t="s">
        <v>929</v>
      </c>
      <c r="AS45" s="178" t="s">
        <v>928</v>
      </c>
      <c r="AT45" s="178" t="s">
        <v>912</v>
      </c>
      <c r="AU45" s="178">
        <v>5</v>
      </c>
      <c r="AV45" s="178">
        <v>0.15</v>
      </c>
      <c r="AW45" s="178">
        <v>1</v>
      </c>
      <c r="AX45" s="178" t="s">
        <v>851</v>
      </c>
    </row>
    <row r="46" spans="1:50">
      <c r="A46" t="s">
        <v>930</v>
      </c>
      <c r="AS46" s="178" t="s">
        <v>928</v>
      </c>
      <c r="AT46" s="178" t="s">
        <v>913</v>
      </c>
      <c r="AU46" s="178">
        <v>5</v>
      </c>
      <c r="AV46" s="178">
        <v>0.15</v>
      </c>
      <c r="AW46" s="178">
        <v>1</v>
      </c>
      <c r="AX46" s="178" t="s">
        <v>851</v>
      </c>
    </row>
    <row r="47" spans="1:50">
      <c r="A47" t="s">
        <v>931</v>
      </c>
      <c r="AS47" s="178" t="s">
        <v>928</v>
      </c>
      <c r="AT47" s="178" t="s">
        <v>915</v>
      </c>
      <c r="AU47" s="178">
        <v>0</v>
      </c>
      <c r="AV47" s="178">
        <v>0</v>
      </c>
      <c r="AW47" s="178">
        <v>2</v>
      </c>
      <c r="AX47" s="178" t="s">
        <v>916</v>
      </c>
    </row>
    <row r="48" spans="1:50" ht="28.9">
      <c r="A48" t="s">
        <v>932</v>
      </c>
      <c r="AS48" s="2" t="s">
        <v>933</v>
      </c>
      <c r="AT48" s="178" t="s">
        <v>934</v>
      </c>
      <c r="AU48" s="178">
        <v>5</v>
      </c>
      <c r="AV48" s="178">
        <v>0.15</v>
      </c>
      <c r="AW48" s="178">
        <v>3</v>
      </c>
      <c r="AX48" s="178" t="s">
        <v>860</v>
      </c>
    </row>
    <row r="49" spans="1:50">
      <c r="A49" t="s">
        <v>935</v>
      </c>
      <c r="AS49" s="2" t="s">
        <v>933</v>
      </c>
      <c r="AT49" s="178" t="s">
        <v>936</v>
      </c>
      <c r="AU49" s="178">
        <v>5</v>
      </c>
      <c r="AV49" s="178">
        <v>0.15</v>
      </c>
      <c r="AW49" s="178">
        <v>2</v>
      </c>
      <c r="AX49" s="178" t="s">
        <v>860</v>
      </c>
    </row>
    <row r="50" spans="1:50">
      <c r="A50" t="s">
        <v>182</v>
      </c>
      <c r="AS50" s="2" t="s">
        <v>933</v>
      </c>
      <c r="AT50" s="178" t="s">
        <v>937</v>
      </c>
      <c r="AU50" s="178">
        <v>5</v>
      </c>
      <c r="AV50" s="178">
        <v>0.15</v>
      </c>
      <c r="AW50" s="178">
        <v>1</v>
      </c>
      <c r="AX50" s="178" t="s">
        <v>860</v>
      </c>
    </row>
    <row r="51" spans="1:50">
      <c r="A51" t="s">
        <v>938</v>
      </c>
      <c r="AS51" s="2" t="s">
        <v>933</v>
      </c>
      <c r="AT51" s="178" t="s">
        <v>939</v>
      </c>
      <c r="AU51" s="178">
        <v>2</v>
      </c>
      <c r="AV51" s="178">
        <v>0.15</v>
      </c>
      <c r="AW51" s="178">
        <v>2</v>
      </c>
      <c r="AX51" s="178" t="s">
        <v>895</v>
      </c>
    </row>
    <row r="52" spans="1:50">
      <c r="A52" t="s">
        <v>940</v>
      </c>
      <c r="AS52" s="2" t="s">
        <v>933</v>
      </c>
      <c r="AT52" s="178" t="s">
        <v>941</v>
      </c>
      <c r="AU52" s="178">
        <v>2</v>
      </c>
      <c r="AV52" s="178">
        <v>0.15</v>
      </c>
      <c r="AW52" s="178">
        <v>2</v>
      </c>
      <c r="AX52" s="178" t="s">
        <v>860</v>
      </c>
    </row>
    <row r="53" spans="1:50">
      <c r="A53" t="s">
        <v>942</v>
      </c>
      <c r="AS53" s="2" t="s">
        <v>933</v>
      </c>
      <c r="AT53" s="178" t="s">
        <v>943</v>
      </c>
      <c r="AU53" s="178">
        <v>5</v>
      </c>
      <c r="AV53" s="178">
        <v>0.15</v>
      </c>
      <c r="AW53" s="178">
        <v>1</v>
      </c>
      <c r="AX53" s="178" t="s">
        <v>860</v>
      </c>
    </row>
    <row r="54" spans="1:50">
      <c r="A54" t="s">
        <v>944</v>
      </c>
      <c r="AS54" s="2" t="s">
        <v>933</v>
      </c>
      <c r="AT54" s="178" t="s">
        <v>945</v>
      </c>
      <c r="AU54" s="178">
        <v>33</v>
      </c>
      <c r="AV54" s="178">
        <v>0.15</v>
      </c>
      <c r="AW54" s="178">
        <v>1</v>
      </c>
      <c r="AX54" s="178" t="s">
        <v>851</v>
      </c>
    </row>
    <row r="55" spans="1:50">
      <c r="A55" t="s">
        <v>946</v>
      </c>
      <c r="AS55" s="2" t="s">
        <v>933</v>
      </c>
      <c r="AT55" s="178" t="s">
        <v>947</v>
      </c>
      <c r="AU55" s="178">
        <v>1</v>
      </c>
      <c r="AV55" s="178">
        <v>0.15</v>
      </c>
      <c r="AW55" s="178">
        <v>2</v>
      </c>
      <c r="AX55" s="178" t="s">
        <v>895</v>
      </c>
    </row>
    <row r="56" spans="1:50">
      <c r="A56" t="s">
        <v>190</v>
      </c>
      <c r="AS56" s="2" t="s">
        <v>933</v>
      </c>
      <c r="AT56" s="178" t="s">
        <v>873</v>
      </c>
      <c r="AU56" s="178">
        <v>5</v>
      </c>
      <c r="AV56" s="178">
        <v>0.15</v>
      </c>
      <c r="AW56" s="178">
        <v>2</v>
      </c>
      <c r="AX56" s="178" t="s">
        <v>860</v>
      </c>
    </row>
    <row r="57" spans="1:50">
      <c r="A57" t="s">
        <v>948</v>
      </c>
      <c r="AS57" s="2" t="s">
        <v>134</v>
      </c>
      <c r="AT57" s="178" t="s">
        <v>949</v>
      </c>
      <c r="AU57" s="178">
        <v>17</v>
      </c>
      <c r="AV57" s="178">
        <v>0.2</v>
      </c>
      <c r="AW57" s="178">
        <v>2</v>
      </c>
      <c r="AX57" s="178" t="s">
        <v>860</v>
      </c>
    </row>
    <row r="58" spans="1:50">
      <c r="A58" t="s">
        <v>950</v>
      </c>
      <c r="AS58" s="2" t="s">
        <v>134</v>
      </c>
      <c r="AT58" s="178" t="s">
        <v>951</v>
      </c>
      <c r="AU58" s="178">
        <v>17</v>
      </c>
      <c r="AV58" s="178">
        <v>0.15</v>
      </c>
      <c r="AW58" s="178">
        <v>1</v>
      </c>
      <c r="AX58" s="178" t="s">
        <v>851</v>
      </c>
    </row>
    <row r="59" spans="1:50">
      <c r="A59" t="s">
        <v>952</v>
      </c>
      <c r="AS59" s="2" t="s">
        <v>134</v>
      </c>
      <c r="AT59" s="178" t="s">
        <v>953</v>
      </c>
      <c r="AU59" s="178">
        <v>17</v>
      </c>
      <c r="AV59" s="178">
        <v>0.4</v>
      </c>
      <c r="AW59" s="178">
        <v>2</v>
      </c>
      <c r="AX59" s="178" t="s">
        <v>860</v>
      </c>
    </row>
    <row r="60" spans="1:50">
      <c r="A60" t="s">
        <v>954</v>
      </c>
      <c r="AS60" s="2" t="s">
        <v>134</v>
      </c>
      <c r="AT60" s="178" t="s">
        <v>955</v>
      </c>
      <c r="AU60" s="178">
        <v>17</v>
      </c>
      <c r="AV60" s="178">
        <v>0.4</v>
      </c>
      <c r="AW60" s="178">
        <v>2</v>
      </c>
      <c r="AX60" s="178" t="s">
        <v>860</v>
      </c>
    </row>
    <row r="61" spans="1:50">
      <c r="A61" t="s">
        <v>956</v>
      </c>
      <c r="AS61" s="2" t="s">
        <v>134</v>
      </c>
      <c r="AT61" s="178" t="s">
        <v>957</v>
      </c>
      <c r="AU61" s="178">
        <v>17</v>
      </c>
      <c r="AV61" s="178">
        <v>0.2</v>
      </c>
      <c r="AW61" s="178">
        <v>2</v>
      </c>
      <c r="AX61" s="178" t="s">
        <v>860</v>
      </c>
    </row>
    <row r="62" spans="1:50">
      <c r="A62" t="s">
        <v>958</v>
      </c>
      <c r="AS62" s="2" t="s">
        <v>134</v>
      </c>
      <c r="AT62" s="178" t="s">
        <v>959</v>
      </c>
      <c r="AU62" s="178">
        <v>17</v>
      </c>
      <c r="AV62" s="178">
        <v>0.2</v>
      </c>
      <c r="AW62" s="178">
        <v>1</v>
      </c>
      <c r="AX62" s="178" t="s">
        <v>851</v>
      </c>
    </row>
    <row r="63" spans="1:50">
      <c r="A63" t="s">
        <v>960</v>
      </c>
      <c r="AS63" s="2" t="s">
        <v>134</v>
      </c>
      <c r="AT63" s="178" t="s">
        <v>961</v>
      </c>
      <c r="AU63" s="178">
        <v>17</v>
      </c>
      <c r="AV63" s="178">
        <v>0.3</v>
      </c>
      <c r="AW63" s="178">
        <v>2</v>
      </c>
      <c r="AX63" s="178" t="s">
        <v>860</v>
      </c>
    </row>
    <row r="64" spans="1:50">
      <c r="A64" t="s">
        <v>187</v>
      </c>
      <c r="AS64" s="2" t="s">
        <v>962</v>
      </c>
      <c r="AT64" s="178" t="s">
        <v>963</v>
      </c>
      <c r="AU64" s="178">
        <v>71</v>
      </c>
      <c r="AV64" s="178">
        <v>0.15</v>
      </c>
      <c r="AW64" s="178">
        <v>1</v>
      </c>
      <c r="AX64" s="178" t="s">
        <v>851</v>
      </c>
    </row>
    <row r="65" spans="1:50">
      <c r="A65" t="s">
        <v>964</v>
      </c>
      <c r="AS65" s="2" t="s">
        <v>962</v>
      </c>
      <c r="AT65" s="178" t="s">
        <v>965</v>
      </c>
      <c r="AU65" s="178">
        <v>71</v>
      </c>
      <c r="AV65" s="178">
        <v>0.15</v>
      </c>
      <c r="AW65" s="178">
        <v>1</v>
      </c>
      <c r="AX65" s="178" t="s">
        <v>851</v>
      </c>
    </row>
    <row r="66" spans="1:50">
      <c r="A66" t="s">
        <v>966</v>
      </c>
      <c r="AS66" s="2" t="s">
        <v>962</v>
      </c>
      <c r="AT66" s="178" t="s">
        <v>967</v>
      </c>
      <c r="AU66" s="178">
        <v>13</v>
      </c>
      <c r="AV66" s="178">
        <v>0.15</v>
      </c>
      <c r="AW66" s="178">
        <v>1</v>
      </c>
      <c r="AX66" s="178" t="s">
        <v>851</v>
      </c>
    </row>
    <row r="67" spans="1:50">
      <c r="A67" t="s">
        <v>968</v>
      </c>
      <c r="AS67" s="2" t="s">
        <v>962</v>
      </c>
      <c r="AT67" s="178" t="s">
        <v>969</v>
      </c>
      <c r="AU67" s="178">
        <v>13</v>
      </c>
      <c r="AV67" s="178">
        <v>0.15</v>
      </c>
      <c r="AW67" s="178">
        <v>1</v>
      </c>
      <c r="AX67" s="178" t="s">
        <v>851</v>
      </c>
    </row>
    <row r="68" spans="1:50">
      <c r="A68" t="s">
        <v>970</v>
      </c>
      <c r="AS68" s="2" t="s">
        <v>962</v>
      </c>
      <c r="AT68" s="178" t="s">
        <v>971</v>
      </c>
      <c r="AU68" s="178">
        <v>10</v>
      </c>
      <c r="AV68" s="178">
        <v>0.15</v>
      </c>
      <c r="AW68" s="178">
        <v>1</v>
      </c>
      <c r="AX68" s="178" t="s">
        <v>860</v>
      </c>
    </row>
    <row r="69" spans="1:50">
      <c r="A69" t="s">
        <v>972</v>
      </c>
      <c r="AS69" s="2" t="s">
        <v>962</v>
      </c>
      <c r="AT69" s="178" t="s">
        <v>973</v>
      </c>
      <c r="AU69" s="178">
        <v>33</v>
      </c>
      <c r="AV69" s="178">
        <v>0.15</v>
      </c>
      <c r="AW69" s="178">
        <v>1</v>
      </c>
      <c r="AX69" s="178" t="s">
        <v>851</v>
      </c>
    </row>
    <row r="70" spans="1:50">
      <c r="A70" t="s">
        <v>974</v>
      </c>
      <c r="AS70" s="2" t="s">
        <v>962</v>
      </c>
      <c r="AT70" s="178" t="s">
        <v>975</v>
      </c>
      <c r="AU70" s="178">
        <v>17</v>
      </c>
      <c r="AV70" s="178">
        <v>0.15</v>
      </c>
      <c r="AW70" s="178">
        <v>1</v>
      </c>
      <c r="AX70" s="178" t="s">
        <v>860</v>
      </c>
    </row>
    <row r="71" spans="1:50">
      <c r="A71" t="s">
        <v>976</v>
      </c>
      <c r="AS71" s="2" t="s">
        <v>962</v>
      </c>
      <c r="AT71" s="178" t="s">
        <v>977</v>
      </c>
      <c r="AU71" s="178">
        <v>17</v>
      </c>
      <c r="AV71" s="178">
        <v>0.15</v>
      </c>
      <c r="AW71" s="178">
        <v>1</v>
      </c>
      <c r="AX71" s="178" t="s">
        <v>851</v>
      </c>
    </row>
    <row r="72" spans="1:50">
      <c r="A72" t="s">
        <v>978</v>
      </c>
      <c r="AS72" s="2" t="s">
        <v>962</v>
      </c>
      <c r="AT72" s="2" t="s">
        <v>979</v>
      </c>
      <c r="AU72" s="178">
        <v>5</v>
      </c>
      <c r="AV72" s="178">
        <v>0.15</v>
      </c>
      <c r="AW72" s="178">
        <v>1</v>
      </c>
      <c r="AX72" s="178" t="s">
        <v>851</v>
      </c>
    </row>
    <row r="73" spans="1:50">
      <c r="A73" t="s">
        <v>980</v>
      </c>
    </row>
    <row r="74" spans="1:50">
      <c r="A74" t="s">
        <v>981</v>
      </c>
      <c r="AS74" t="s">
        <v>982</v>
      </c>
    </row>
    <row r="75" spans="1:50">
      <c r="A75" t="s">
        <v>204</v>
      </c>
      <c r="AS75" t="s">
        <v>983</v>
      </c>
    </row>
    <row r="76" spans="1:50">
      <c r="A76" t="s">
        <v>984</v>
      </c>
      <c r="AS76" t="s">
        <v>985</v>
      </c>
    </row>
    <row r="77" spans="1:50">
      <c r="A77" t="s">
        <v>986</v>
      </c>
      <c r="AS77" t="s">
        <v>987</v>
      </c>
    </row>
    <row r="78" spans="1:50">
      <c r="A78" t="s">
        <v>988</v>
      </c>
      <c r="AS78" t="s">
        <v>989</v>
      </c>
    </row>
    <row r="79" spans="1:50">
      <c r="A79" t="s">
        <v>669</v>
      </c>
      <c r="AS79" t="s">
        <v>990</v>
      </c>
    </row>
    <row r="80" spans="1:50">
      <c r="A80" t="s">
        <v>991</v>
      </c>
      <c r="AS80" t="s">
        <v>992</v>
      </c>
    </row>
    <row r="81" spans="1:49">
      <c r="A81" t="s">
        <v>993</v>
      </c>
      <c r="AS81" t="s">
        <v>994</v>
      </c>
    </row>
    <row r="82" spans="1:49">
      <c r="A82" t="s">
        <v>995</v>
      </c>
      <c r="AS82" t="s">
        <v>996</v>
      </c>
    </row>
    <row r="83" spans="1:49">
      <c r="A83" s="1" t="s">
        <v>997</v>
      </c>
      <c r="B83" s="1"/>
      <c r="O83" s="644" t="str">
        <f>A84</f>
        <v>Basement of Large Hotel</v>
      </c>
      <c r="AS83" t="s">
        <v>998</v>
      </c>
    </row>
    <row r="84" spans="1:49" ht="66">
      <c r="A84" s="1" t="s">
        <v>999</v>
      </c>
      <c r="B84" s="1"/>
      <c r="C84" s="654">
        <f t="shared" ref="C84:D84" si="0">SUMPRODUCT($Q$85:$Q$88,W85:W88)</f>
        <v>13.45</v>
      </c>
      <c r="D84" s="655">
        <f t="shared" si="0"/>
        <v>307.51615657454977</v>
      </c>
      <c r="E84" s="655">
        <f>SUMPRODUCT($Q$85:$Q$88,Y85:Y88)</f>
        <v>49</v>
      </c>
      <c r="F84" s="7">
        <f>SUMPRODUCT($Q$85:$Q$88,Z85:Z88)</f>
        <v>1.2349999999999999</v>
      </c>
      <c r="G84" s="7">
        <f>SUMPRODUCT($Q$85:$Q$88,AA85:AA88)</f>
        <v>0</v>
      </c>
      <c r="H84" s="7">
        <f>SUMPRODUCT($Q$85:$Q$88,AB85:AB88)</f>
        <v>0</v>
      </c>
      <c r="I84" s="7">
        <f>SUMPRODUCT($Q$85:$Q$88,AC85:AC88)</f>
        <v>0.72750000000000004</v>
      </c>
      <c r="J84" s="7">
        <f t="shared" ref="J84" si="1">SUMPRODUCT($Q$85:$Q$88,AD85:AD88)</f>
        <v>0.77249999999999996</v>
      </c>
      <c r="K84" s="7">
        <f t="shared" ref="K84" si="2">SUMPRODUCT($Q$85:$Q$88,AE85:AE88)</f>
        <v>1.0050000000000001</v>
      </c>
      <c r="L84" s="7">
        <f>SUMPRODUCT($Q$85:$Q$88,AF85:AF88)</f>
        <v>0.27239999999999998</v>
      </c>
      <c r="M84" s="7"/>
      <c r="O84" s="633" t="s">
        <v>1000</v>
      </c>
      <c r="P84" s="633" t="s">
        <v>167</v>
      </c>
      <c r="Q84" s="633" t="s">
        <v>1001</v>
      </c>
      <c r="R84" s="645" t="s">
        <v>1002</v>
      </c>
      <c r="S84" s="633" t="s">
        <v>538</v>
      </c>
      <c r="T84" s="645" t="s">
        <v>539</v>
      </c>
      <c r="U84" s="645" t="s">
        <v>540</v>
      </c>
      <c r="V84" s="645" t="s">
        <v>541</v>
      </c>
      <c r="W84" s="645" t="s">
        <v>542</v>
      </c>
      <c r="X84" s="645" t="s">
        <v>543</v>
      </c>
      <c r="Y84" s="645" t="s">
        <v>544</v>
      </c>
      <c r="Z84" s="645" t="s">
        <v>660</v>
      </c>
      <c r="AA84" s="645" t="s">
        <v>663</v>
      </c>
      <c r="AB84" s="645" t="s">
        <v>662</v>
      </c>
      <c r="AC84" s="645" t="s">
        <v>1003</v>
      </c>
      <c r="AD84" s="645" t="s">
        <v>1004</v>
      </c>
      <c r="AE84" s="645" t="s">
        <v>1005</v>
      </c>
      <c r="AF84" s="645" t="s">
        <v>1006</v>
      </c>
      <c r="AG84" s="740" t="s">
        <v>1007</v>
      </c>
      <c r="AS84" t="s">
        <v>1008</v>
      </c>
    </row>
    <row r="85" spans="1:49">
      <c r="A85" t="s">
        <v>183</v>
      </c>
      <c r="O85" s="634" t="s">
        <v>1009</v>
      </c>
      <c r="P85" s="634" t="s">
        <v>179</v>
      </c>
      <c r="Q85" s="230">
        <v>0.35</v>
      </c>
      <c r="R85" s="808">
        <v>33</v>
      </c>
      <c r="S85" s="651">
        <f>Q85*Zones!$G$3</f>
        <v>2609.2279951779979</v>
      </c>
      <c r="T85" s="648">
        <v>15</v>
      </c>
      <c r="U85" s="646">
        <v>0.15</v>
      </c>
      <c r="V85" s="649" t="s">
        <v>546</v>
      </c>
      <c r="W85" s="6">
        <f>R85</f>
        <v>33</v>
      </c>
      <c r="X85" s="652">
        <f>U85*S85</f>
        <v>391.38419927669969</v>
      </c>
      <c r="Y85" s="649">
        <f>2*70</f>
        <v>140</v>
      </c>
      <c r="Z85" s="6">
        <v>1.5</v>
      </c>
      <c r="AA85" s="6"/>
      <c r="AB85" s="6"/>
      <c r="AC85" s="632">
        <v>0.75</v>
      </c>
      <c r="AD85" s="632">
        <v>0.85</v>
      </c>
      <c r="AE85" s="632">
        <v>1.2</v>
      </c>
      <c r="AF85" s="632">
        <v>0.18</v>
      </c>
      <c r="AG85" s="741">
        <f>Q85*SUM($S$85:$S$88)*2</f>
        <v>5218.4559903559957</v>
      </c>
      <c r="AS85" t="s">
        <v>1010</v>
      </c>
    </row>
    <row r="86" spans="1:49">
      <c r="O86" s="635" t="s">
        <v>1011</v>
      </c>
      <c r="P86" s="635" t="s">
        <v>182</v>
      </c>
      <c r="Q86" s="230">
        <v>0.2</v>
      </c>
      <c r="R86" s="808">
        <v>5</v>
      </c>
      <c r="S86" s="651">
        <f>Q86*Zones!$G$3</f>
        <v>1490.9874258159989</v>
      </c>
      <c r="T86" s="648">
        <v>15</v>
      </c>
      <c r="U86" s="646">
        <v>0.15</v>
      </c>
      <c r="V86" s="6"/>
      <c r="W86" s="6">
        <f t="shared" ref="W86:W88" si="3">R86</f>
        <v>5</v>
      </c>
      <c r="X86" s="652">
        <f t="shared" ref="X86:X88" si="4">U86*S86</f>
        <v>223.64811387239982</v>
      </c>
      <c r="Y86" s="6"/>
      <c r="Z86" s="6">
        <v>1</v>
      </c>
      <c r="AA86" s="6"/>
      <c r="AB86" s="6"/>
      <c r="AC86" s="632">
        <v>0.6</v>
      </c>
      <c r="AD86" s="632">
        <v>0.65</v>
      </c>
      <c r="AE86" s="632">
        <v>0.75</v>
      </c>
      <c r="AF86" s="632">
        <v>0.18</v>
      </c>
      <c r="AG86" s="741">
        <f t="shared" ref="AG86:AG88" si="5">Q86*SUM($S$85:$S$88)*2</f>
        <v>2981.9748516319978</v>
      </c>
      <c r="AS86" t="s">
        <v>1012</v>
      </c>
    </row>
    <row r="87" spans="1:49">
      <c r="O87" s="28" t="s">
        <v>1013</v>
      </c>
      <c r="P87" s="28" t="s">
        <v>1014</v>
      </c>
      <c r="Q87" s="230">
        <v>0.3</v>
      </c>
      <c r="R87" s="808">
        <v>3</v>
      </c>
      <c r="S87" s="651">
        <f>Q87*Zones!$G$3</f>
        <v>2236.4811387239984</v>
      </c>
      <c r="T87" s="648">
        <v>15</v>
      </c>
      <c r="U87" s="646">
        <v>0.15</v>
      </c>
      <c r="V87" s="832" t="s">
        <v>1015</v>
      </c>
      <c r="W87" s="6">
        <f t="shared" si="3"/>
        <v>3</v>
      </c>
      <c r="X87" s="652">
        <f t="shared" si="4"/>
        <v>335.47217080859974</v>
      </c>
      <c r="Y87" s="653"/>
      <c r="Z87" s="391">
        <v>1.5</v>
      </c>
      <c r="AA87" s="391"/>
      <c r="AB87" s="832"/>
      <c r="AC87" s="632">
        <v>0.95</v>
      </c>
      <c r="AD87" s="632">
        <v>0.95</v>
      </c>
      <c r="AE87" s="632">
        <v>1.2</v>
      </c>
      <c r="AF87" s="632">
        <v>0.57799999999999996</v>
      </c>
      <c r="AG87" s="741">
        <f t="shared" si="5"/>
        <v>4472.9622774479967</v>
      </c>
      <c r="AS87" t="s">
        <v>1016</v>
      </c>
    </row>
    <row r="88" spans="1:49">
      <c r="O88" s="28" t="s">
        <v>138</v>
      </c>
      <c r="P88" s="28" t="s">
        <v>187</v>
      </c>
      <c r="Q88" s="230">
        <v>0.15</v>
      </c>
      <c r="R88" s="808">
        <v>0</v>
      </c>
      <c r="S88" s="651">
        <f>Q88*Zones!$G$3</f>
        <v>1118.2405693619992</v>
      </c>
      <c r="T88" s="650">
        <v>15</v>
      </c>
      <c r="U88" s="647">
        <v>0.15</v>
      </c>
      <c r="V88" s="6"/>
      <c r="W88" s="6">
        <f t="shared" si="3"/>
        <v>0</v>
      </c>
      <c r="X88" s="652">
        <f t="shared" si="4"/>
        <v>167.73608540429987</v>
      </c>
      <c r="Y88" s="6"/>
      <c r="Z88" s="6">
        <v>0.4</v>
      </c>
      <c r="AA88" s="6"/>
      <c r="AB88" s="6"/>
      <c r="AC88" s="632">
        <v>0.4</v>
      </c>
      <c r="AD88" s="632">
        <v>0.4</v>
      </c>
      <c r="AE88" s="632">
        <v>0.5</v>
      </c>
      <c r="AF88" s="632">
        <v>0</v>
      </c>
      <c r="AG88" s="741">
        <f t="shared" si="5"/>
        <v>2236.4811387239984</v>
      </c>
      <c r="AS88" t="s">
        <v>1017</v>
      </c>
    </row>
    <row r="89" spans="1:49">
      <c r="AS89" t="s">
        <v>1018</v>
      </c>
    </row>
    <row r="91" spans="1:49" ht="15.6">
      <c r="AS91" s="1213" t="s">
        <v>1019</v>
      </c>
      <c r="AT91" s="1214"/>
      <c r="AU91" s="1214"/>
      <c r="AV91" s="1214"/>
      <c r="AW91" s="1215"/>
    </row>
    <row r="92" spans="1:49" ht="28.9">
      <c r="AS92" s="755" t="s">
        <v>829</v>
      </c>
      <c r="AT92" s="755" t="s">
        <v>1020</v>
      </c>
      <c r="AU92" s="755" t="s">
        <v>1021</v>
      </c>
      <c r="AV92" s="755" t="s">
        <v>832</v>
      </c>
      <c r="AW92" s="755" t="s">
        <v>39</v>
      </c>
    </row>
    <row r="93" spans="1:49">
      <c r="AS93" s="236" t="s">
        <v>1022</v>
      </c>
      <c r="AT93" s="236" t="s">
        <v>860</v>
      </c>
      <c r="AU93" s="236">
        <v>0.9</v>
      </c>
      <c r="AV93" s="236">
        <v>3</v>
      </c>
      <c r="AW93" s="236" t="s">
        <v>860</v>
      </c>
    </row>
    <row r="94" spans="1:49">
      <c r="AS94" s="236" t="s">
        <v>1023</v>
      </c>
      <c r="AT94" s="236" t="s">
        <v>860</v>
      </c>
      <c r="AU94" s="236">
        <v>3</v>
      </c>
      <c r="AV94" s="236">
        <v>3</v>
      </c>
      <c r="AW94" s="236" t="s">
        <v>860</v>
      </c>
    </row>
    <row r="95" spans="1:49" ht="28.9">
      <c r="AS95" s="236" t="s">
        <v>1024</v>
      </c>
      <c r="AT95" s="236" t="s">
        <v>860</v>
      </c>
      <c r="AU95" s="236">
        <v>1.5</v>
      </c>
      <c r="AV95" s="236">
        <v>3</v>
      </c>
      <c r="AW95" s="236" t="s">
        <v>860</v>
      </c>
    </row>
    <row r="96" spans="1:49">
      <c r="AS96" s="236" t="s">
        <v>1025</v>
      </c>
      <c r="AT96" s="236" t="s">
        <v>860</v>
      </c>
      <c r="AU96" s="236">
        <v>1.5</v>
      </c>
      <c r="AV96" s="236">
        <v>3</v>
      </c>
      <c r="AW96" s="236" t="s">
        <v>860</v>
      </c>
    </row>
    <row r="97" spans="45:49">
      <c r="AS97" s="236" t="s">
        <v>1026</v>
      </c>
      <c r="AT97" s="236" t="s">
        <v>860</v>
      </c>
      <c r="AU97" s="236">
        <v>2.25</v>
      </c>
      <c r="AV97" s="236">
        <v>3</v>
      </c>
      <c r="AW97" s="236" t="s">
        <v>860</v>
      </c>
    </row>
    <row r="98" spans="45:49">
      <c r="AS98" s="236" t="s">
        <v>1027</v>
      </c>
      <c r="AT98" s="236" t="s">
        <v>860</v>
      </c>
      <c r="AU98" s="236">
        <v>1.5</v>
      </c>
      <c r="AV98" s="236">
        <v>3</v>
      </c>
      <c r="AW98" s="236" t="s">
        <v>860</v>
      </c>
    </row>
    <row r="99" spans="45:49">
      <c r="AS99" s="236" t="s">
        <v>1028</v>
      </c>
      <c r="AT99" s="236" t="s">
        <v>860</v>
      </c>
      <c r="AU99" s="236">
        <v>2.25</v>
      </c>
      <c r="AV99" s="236">
        <v>3</v>
      </c>
      <c r="AW99" s="236" t="s">
        <v>860</v>
      </c>
    </row>
    <row r="100" spans="45:49">
      <c r="AS100" s="236" t="s">
        <v>1029</v>
      </c>
      <c r="AT100" s="236" t="s">
        <v>860</v>
      </c>
      <c r="AU100" s="236">
        <v>2.25</v>
      </c>
      <c r="AV100" s="236">
        <v>3</v>
      </c>
      <c r="AW100" s="236" t="s">
        <v>860</v>
      </c>
    </row>
    <row r="101" spans="45:49" ht="28.9">
      <c r="AS101" s="236" t="s">
        <v>1030</v>
      </c>
      <c r="AT101" s="236" t="s">
        <v>860</v>
      </c>
      <c r="AU101" s="236">
        <v>2.25</v>
      </c>
      <c r="AV101" s="236">
        <v>3</v>
      </c>
      <c r="AW101" s="236" t="s">
        <v>860</v>
      </c>
    </row>
    <row r="102" spans="45:49" ht="28.9">
      <c r="AS102" s="236" t="s">
        <v>1031</v>
      </c>
      <c r="AT102" s="236" t="s">
        <v>860</v>
      </c>
      <c r="AU102" s="236">
        <v>1.5</v>
      </c>
      <c r="AV102" s="236">
        <v>3</v>
      </c>
      <c r="AW102" s="236" t="s">
        <v>860</v>
      </c>
    </row>
    <row r="103" spans="45:49">
      <c r="AS103" s="236" t="s">
        <v>1032</v>
      </c>
      <c r="AT103" s="236" t="s">
        <v>860</v>
      </c>
      <c r="AU103" s="236">
        <v>0.5</v>
      </c>
      <c r="AV103" s="236">
        <v>1</v>
      </c>
      <c r="AW103" s="236" t="s">
        <v>895</v>
      </c>
    </row>
    <row r="104" spans="45:49">
      <c r="AS104" s="236" t="s">
        <v>1033</v>
      </c>
      <c r="AT104" s="236" t="s">
        <v>860</v>
      </c>
      <c r="AU104" s="236">
        <v>0.7</v>
      </c>
      <c r="AV104" s="236">
        <v>2</v>
      </c>
      <c r="AW104" s="236" t="s">
        <v>860</v>
      </c>
    </row>
    <row r="105" spans="45:49">
      <c r="AS105" s="236" t="s">
        <v>1034</v>
      </c>
      <c r="AT105" s="236" t="s">
        <v>860</v>
      </c>
      <c r="AU105" s="236">
        <v>1.5</v>
      </c>
      <c r="AV105" s="236">
        <v>2</v>
      </c>
      <c r="AW105" s="236" t="s">
        <v>876</v>
      </c>
    </row>
    <row r="106" spans="45:49">
      <c r="AS106" s="236" t="s">
        <v>842</v>
      </c>
      <c r="AT106" s="236" t="s">
        <v>860</v>
      </c>
      <c r="AU106" s="236">
        <v>0.5</v>
      </c>
      <c r="AV106" s="236">
        <v>2</v>
      </c>
      <c r="AW106" s="236" t="s">
        <v>860</v>
      </c>
    </row>
    <row r="107" spans="45:49">
      <c r="AS107" s="236" t="s">
        <v>955</v>
      </c>
      <c r="AT107" s="236" t="s">
        <v>860</v>
      </c>
      <c r="AU107" s="236">
        <v>0.6</v>
      </c>
      <c r="AV107" s="236">
        <v>2</v>
      </c>
      <c r="AW107" s="236" t="s">
        <v>860</v>
      </c>
    </row>
    <row r="108" spans="45:49">
      <c r="AS108" s="236" t="s">
        <v>1035</v>
      </c>
      <c r="AT108" s="236" t="s">
        <v>860</v>
      </c>
      <c r="AU108" s="236">
        <v>1</v>
      </c>
      <c r="AV108" s="236">
        <v>2</v>
      </c>
      <c r="AW108" s="236" t="s">
        <v>860</v>
      </c>
    </row>
    <row r="109" spans="45:49">
      <c r="AS109" s="236" t="s">
        <v>1036</v>
      </c>
      <c r="AT109" s="236" t="s">
        <v>860</v>
      </c>
      <c r="AU109" s="236">
        <v>0.5</v>
      </c>
      <c r="AV109" s="236">
        <v>2</v>
      </c>
      <c r="AW109" s="236" t="s">
        <v>860</v>
      </c>
    </row>
    <row r="110" spans="45:49">
      <c r="AS110" s="236" t="s">
        <v>1037</v>
      </c>
      <c r="AT110" s="236" t="s">
        <v>860</v>
      </c>
      <c r="AU110" s="236">
        <v>1</v>
      </c>
      <c r="AV110" s="236">
        <v>2</v>
      </c>
      <c r="AW110" s="236" t="s">
        <v>860</v>
      </c>
    </row>
    <row r="111" spans="45:49">
      <c r="AS111" s="236" t="s">
        <v>1038</v>
      </c>
      <c r="AT111" s="236" t="s">
        <v>860</v>
      </c>
      <c r="AU111" s="236">
        <v>1</v>
      </c>
      <c r="AV111" s="236">
        <v>2</v>
      </c>
      <c r="AW111" s="236" t="s">
        <v>860</v>
      </c>
    </row>
    <row r="112" spans="45:49" ht="28.9">
      <c r="AS112" s="236" t="s">
        <v>1039</v>
      </c>
      <c r="AT112" s="236" t="s">
        <v>860</v>
      </c>
      <c r="AU112" s="236">
        <v>1</v>
      </c>
      <c r="AV112" s="236">
        <v>3</v>
      </c>
      <c r="AW112" s="236" t="s">
        <v>860</v>
      </c>
    </row>
    <row r="113" spans="45:49">
      <c r="AS113" s="236" t="s">
        <v>1040</v>
      </c>
      <c r="AT113" s="236" t="s">
        <v>860</v>
      </c>
      <c r="AU113" s="236">
        <v>0.3</v>
      </c>
      <c r="AV113" s="236">
        <v>2</v>
      </c>
      <c r="AW113" s="236" t="s">
        <v>860</v>
      </c>
    </row>
    <row r="114" spans="45:49">
      <c r="AS114" s="236" t="s">
        <v>1041</v>
      </c>
      <c r="AT114" s="236" t="s">
        <v>860</v>
      </c>
      <c r="AU114" s="236">
        <v>0.7</v>
      </c>
      <c r="AV114" s="236">
        <v>2</v>
      </c>
      <c r="AW114" s="236" t="s">
        <v>860</v>
      </c>
    </row>
    <row r="115" spans="45:49" ht="28.9">
      <c r="AS115" s="236" t="s">
        <v>1042</v>
      </c>
      <c r="AT115" s="236" t="s">
        <v>860</v>
      </c>
      <c r="AU115" s="236">
        <v>0.5</v>
      </c>
      <c r="AV115" s="236">
        <v>2</v>
      </c>
      <c r="AW115" s="236" t="s">
        <v>860</v>
      </c>
    </row>
    <row r="116" spans="45:49">
      <c r="AS116" s="236" t="s">
        <v>1043</v>
      </c>
      <c r="AT116" s="236" t="s">
        <v>860</v>
      </c>
      <c r="AU116" s="236">
        <v>0.25</v>
      </c>
      <c r="AV116" s="236">
        <v>2</v>
      </c>
      <c r="AW116" s="236" t="s">
        <v>860</v>
      </c>
    </row>
    <row r="117" spans="45:49">
      <c r="AS117" s="236" t="s">
        <v>1044</v>
      </c>
      <c r="AT117" s="236" t="s">
        <v>860</v>
      </c>
      <c r="AU117" s="236">
        <v>2</v>
      </c>
      <c r="AV117" s="236" t="s">
        <v>1045</v>
      </c>
      <c r="AW117" s="236" t="s">
        <v>860</v>
      </c>
    </row>
    <row r="118" spans="45:49">
      <c r="AS118" s="236" t="s">
        <v>1046</v>
      </c>
      <c r="AT118" s="236" t="s">
        <v>860</v>
      </c>
      <c r="AU118" s="236" t="s">
        <v>860</v>
      </c>
      <c r="AV118" s="236">
        <v>4</v>
      </c>
      <c r="AW118" s="236" t="s">
        <v>851</v>
      </c>
    </row>
    <row r="119" spans="45:49">
      <c r="AS119" s="236" t="s">
        <v>1047</v>
      </c>
      <c r="AT119" s="236" t="s">
        <v>860</v>
      </c>
      <c r="AU119" s="236">
        <v>0.75</v>
      </c>
      <c r="AV119" s="236">
        <v>2</v>
      </c>
      <c r="AW119" s="236" t="s">
        <v>1048</v>
      </c>
    </row>
    <row r="120" spans="45:49">
      <c r="AS120" s="236" t="s">
        <v>957</v>
      </c>
      <c r="AT120" s="236" t="s">
        <v>860</v>
      </c>
      <c r="AU120" s="236">
        <v>0.9</v>
      </c>
      <c r="AV120" s="236">
        <v>2</v>
      </c>
      <c r="AW120" s="236" t="s">
        <v>860</v>
      </c>
    </row>
    <row r="121" spans="45:49">
      <c r="AS121" s="236" t="s">
        <v>1049</v>
      </c>
      <c r="AT121" s="236" t="s">
        <v>860</v>
      </c>
      <c r="AU121" s="236" t="s">
        <v>860</v>
      </c>
      <c r="AV121" s="236">
        <v>3</v>
      </c>
      <c r="AW121" s="236" t="s">
        <v>851</v>
      </c>
    </row>
    <row r="122" spans="45:49">
      <c r="AS122" s="236" t="s">
        <v>1050</v>
      </c>
      <c r="AT122" s="236" t="s">
        <v>860</v>
      </c>
      <c r="AU122" s="236">
        <v>1</v>
      </c>
      <c r="AV122" s="236">
        <v>3</v>
      </c>
      <c r="AW122" s="236" t="s">
        <v>851</v>
      </c>
    </row>
    <row r="123" spans="45:49">
      <c r="AS123" s="236" t="s">
        <v>1051</v>
      </c>
      <c r="AT123" s="236" t="s">
        <v>860</v>
      </c>
      <c r="AU123" s="236">
        <v>1.5</v>
      </c>
      <c r="AV123" s="236">
        <v>4</v>
      </c>
      <c r="AW123" s="236" t="s">
        <v>851</v>
      </c>
    </row>
    <row r="124" spans="45:49">
      <c r="AS124" s="236" t="s">
        <v>1052</v>
      </c>
      <c r="AT124" s="236" t="s">
        <v>860</v>
      </c>
      <c r="AU124" s="236">
        <v>2</v>
      </c>
      <c r="AV124" s="236" t="s">
        <v>916</v>
      </c>
      <c r="AW124" s="236" t="s">
        <v>860</v>
      </c>
    </row>
    <row r="125" spans="45:49">
      <c r="AS125" s="236" t="s">
        <v>1053</v>
      </c>
      <c r="AT125" s="236" t="s">
        <v>860</v>
      </c>
      <c r="AU125" s="236">
        <v>2</v>
      </c>
      <c r="AV125" s="236" t="s">
        <v>1054</v>
      </c>
      <c r="AW125" s="236" t="s">
        <v>860</v>
      </c>
    </row>
    <row r="126" spans="45:49">
      <c r="AS126" s="236" t="s">
        <v>1055</v>
      </c>
      <c r="AT126" s="236" t="s">
        <v>860</v>
      </c>
      <c r="AU126" s="236">
        <v>0.5</v>
      </c>
      <c r="AV126" s="236">
        <v>2</v>
      </c>
      <c r="AW126" s="236" t="s">
        <v>860</v>
      </c>
    </row>
    <row r="130" spans="45:45">
      <c r="AS130" t="s">
        <v>1056</v>
      </c>
    </row>
    <row r="131" spans="45:45">
      <c r="AS131" t="s">
        <v>1057</v>
      </c>
    </row>
    <row r="132" spans="45:45">
      <c r="AS132" t="s">
        <v>1058</v>
      </c>
    </row>
    <row r="133" spans="45:45">
      <c r="AS133" t="s">
        <v>1059</v>
      </c>
    </row>
    <row r="134" spans="45:45">
      <c r="AS134" t="s">
        <v>1060</v>
      </c>
    </row>
    <row r="135" spans="45:45">
      <c r="AS135" t="s">
        <v>1061</v>
      </c>
    </row>
    <row r="136" spans="45:45">
      <c r="AS136" t="s">
        <v>1062</v>
      </c>
    </row>
    <row r="137" spans="45:45">
      <c r="AS137" t="s">
        <v>1063</v>
      </c>
    </row>
    <row r="138" spans="45:45">
      <c r="AS138" t="s">
        <v>1064</v>
      </c>
    </row>
    <row r="139" spans="45:45">
      <c r="AS139" t="s">
        <v>1065</v>
      </c>
    </row>
    <row r="140" spans="45:45">
      <c r="AS140" t="s">
        <v>1066</v>
      </c>
    </row>
    <row r="141" spans="45:45">
      <c r="AS141" t="s">
        <v>1067</v>
      </c>
    </row>
    <row r="142" spans="45:45">
      <c r="AS142" t="s">
        <v>1068</v>
      </c>
    </row>
    <row r="143" spans="45:45">
      <c r="AS143" t="s">
        <v>1069</v>
      </c>
    </row>
    <row r="144" spans="45:45">
      <c r="AS144" t="s">
        <v>1067</v>
      </c>
    </row>
  </sheetData>
  <mergeCells count="6">
    <mergeCell ref="AZ3:BA3"/>
    <mergeCell ref="AS1:BB1"/>
    <mergeCell ref="AS91:AW91"/>
    <mergeCell ref="AZ2:BA2"/>
    <mergeCell ref="AS3:AX3"/>
    <mergeCell ref="AS2:AX2"/>
  </mergeCells>
  <phoneticPr fontId="8" type="noConversion"/>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A2FF8-E67F-4AF9-A6F9-E2B7AE862021}">
  <sheetPr codeName="Sheet1"/>
  <dimension ref="A1:AF71"/>
  <sheetViews>
    <sheetView tabSelected="1" zoomScale="85" zoomScaleNormal="85" workbookViewId="0">
      <selection sqref="A1:C1"/>
    </sheetView>
  </sheetViews>
  <sheetFormatPr defaultColWidth="9.28515625" defaultRowHeight="13.9"/>
  <cols>
    <col min="1" max="1" width="27.5703125" style="8" customWidth="1"/>
    <col min="2" max="2" width="50.5703125" style="8" customWidth="1"/>
    <col min="3" max="3" width="42.5703125" style="8" customWidth="1"/>
    <col min="4" max="4" width="10.5703125" style="8" customWidth="1"/>
    <col min="5" max="5" width="9.5703125" style="8" customWidth="1"/>
    <col min="6" max="6" width="6.28515625" style="8" customWidth="1"/>
    <col min="7" max="7" width="18.28515625" style="8" customWidth="1"/>
    <col min="8" max="8" width="6.140625" style="8" customWidth="1"/>
    <col min="9" max="9" width="8.7109375" style="8" customWidth="1"/>
    <col min="10" max="11" width="7.7109375" style="8" customWidth="1"/>
    <col min="12" max="12" width="7.5703125" style="8" customWidth="1"/>
    <col min="13" max="13" width="10.42578125" style="8" customWidth="1"/>
    <col min="14" max="14" width="9.28515625" style="8" customWidth="1"/>
    <col min="15" max="15" width="7.5703125" style="8" customWidth="1"/>
    <col min="16" max="16" width="7.7109375" style="8" customWidth="1"/>
    <col min="17" max="17" width="7" style="8" customWidth="1"/>
    <col min="18" max="20" width="9.28515625" style="8"/>
    <col min="21" max="22" width="12.28515625" style="8" customWidth="1"/>
    <col min="23" max="16384" width="9.28515625" style="8"/>
  </cols>
  <sheetData>
    <row r="1" spans="1:32" ht="17.45">
      <c r="A1" s="854" t="s">
        <v>54</v>
      </c>
      <c r="B1" s="854"/>
      <c r="C1" s="854"/>
      <c r="D1" s="16"/>
      <c r="E1" s="16"/>
      <c r="F1" s="16"/>
    </row>
    <row r="2" spans="1:32" ht="25.15" customHeight="1">
      <c r="A2" s="855" t="s">
        <v>55</v>
      </c>
      <c r="B2" s="856"/>
      <c r="C2" s="856"/>
      <c r="D2" s="16"/>
      <c r="E2" s="16"/>
      <c r="F2" s="16"/>
    </row>
    <row r="3" spans="1:32" ht="20.45" customHeight="1">
      <c r="A3" s="411" t="s">
        <v>56</v>
      </c>
      <c r="B3" s="802" t="s">
        <v>57</v>
      </c>
      <c r="C3" s="397" t="s">
        <v>0</v>
      </c>
    </row>
    <row r="4" spans="1:32" ht="17.45" customHeight="1">
      <c r="A4" s="412" t="s">
        <v>58</v>
      </c>
      <c r="B4" s="793" t="s">
        <v>59</v>
      </c>
      <c r="C4" s="412"/>
    </row>
    <row r="5" spans="1:32" ht="21.6" customHeight="1">
      <c r="A5" s="412" t="s">
        <v>60</v>
      </c>
      <c r="B5" s="793" t="s">
        <v>61</v>
      </c>
      <c r="C5" s="412"/>
    </row>
    <row r="6" spans="1:32" ht="26.45">
      <c r="A6" s="412" t="s">
        <v>62</v>
      </c>
      <c r="B6" s="791" t="s">
        <v>63</v>
      </c>
      <c r="C6" s="559" t="s">
        <v>64</v>
      </c>
      <c r="D6" s="223" t="s">
        <v>65</v>
      </c>
    </row>
    <row r="7" spans="1:32" ht="118.9" customHeight="1">
      <c r="A7" s="412" t="s">
        <v>66</v>
      </c>
      <c r="B7" s="793"/>
      <c r="C7" s="559" t="s">
        <v>67</v>
      </c>
      <c r="I7" s="9"/>
    </row>
    <row r="8" spans="1:32" ht="26.45">
      <c r="A8" s="413" t="s">
        <v>68</v>
      </c>
      <c r="B8" s="414" t="s">
        <v>69</v>
      </c>
      <c r="C8" s="796" t="s">
        <v>70</v>
      </c>
    </row>
    <row r="9" spans="1:32" ht="26.45">
      <c r="A9" s="413" t="s">
        <v>71</v>
      </c>
      <c r="B9" s="415" t="s">
        <v>72</v>
      </c>
      <c r="C9" s="416" t="s">
        <v>73</v>
      </c>
    </row>
    <row r="10" spans="1:32" ht="26.45">
      <c r="A10" s="417" t="s">
        <v>74</v>
      </c>
      <c r="B10" s="793" t="s">
        <v>75</v>
      </c>
      <c r="C10" s="559" t="s">
        <v>76</v>
      </c>
    </row>
    <row r="11" spans="1:32">
      <c r="A11" s="417" t="s">
        <v>77</v>
      </c>
      <c r="B11" s="793"/>
      <c r="C11" s="559"/>
    </row>
    <row r="12" spans="1:32" ht="18.600000000000001" customHeight="1">
      <c r="A12" s="417" t="s">
        <v>78</v>
      </c>
      <c r="B12" s="793" t="s">
        <v>79</v>
      </c>
      <c r="C12" s="559"/>
    </row>
    <row r="13" spans="1:32" ht="26.45">
      <c r="A13" s="417" t="s">
        <v>80</v>
      </c>
      <c r="B13" s="418" t="s">
        <v>81</v>
      </c>
      <c r="C13" s="559" t="s">
        <v>82</v>
      </c>
    </row>
    <row r="14" spans="1:32" ht="21.6" customHeight="1">
      <c r="A14" s="413" t="s">
        <v>83</v>
      </c>
      <c r="B14" s="419" t="s">
        <v>84</v>
      </c>
      <c r="C14" s="412"/>
      <c r="G14" s="123"/>
    </row>
    <row r="15" spans="1:32" ht="39.6">
      <c r="A15" s="413" t="s">
        <v>85</v>
      </c>
      <c r="B15" s="791" t="s">
        <v>86</v>
      </c>
      <c r="C15" s="559" t="s">
        <v>73</v>
      </c>
      <c r="G15" s="123"/>
      <c r="V15" s="480"/>
      <c r="W15" s="480"/>
      <c r="X15" s="480"/>
      <c r="Y15" s="480"/>
      <c r="Z15" s="480"/>
      <c r="AA15" s="480"/>
    </row>
    <row r="16" spans="1:32" ht="39.6">
      <c r="A16" s="413" t="s">
        <v>87</v>
      </c>
      <c r="B16" s="791" t="s">
        <v>86</v>
      </c>
      <c r="C16" s="559" t="s">
        <v>73</v>
      </c>
      <c r="G16" s="123"/>
      <c r="U16" s="480"/>
      <c r="V16" s="480"/>
      <c r="W16" s="480"/>
      <c r="X16" s="480"/>
      <c r="Y16" s="480"/>
      <c r="Z16" s="480"/>
      <c r="AA16" s="480"/>
      <c r="AC16" s="781"/>
      <c r="AF16" s="481"/>
    </row>
    <row r="17" spans="1:32" ht="20.45" customHeight="1">
      <c r="A17" s="413" t="s">
        <v>88</v>
      </c>
      <c r="B17" s="791" t="s">
        <v>89</v>
      </c>
      <c r="C17" s="412" t="s">
        <v>90</v>
      </c>
      <c r="G17" s="123"/>
      <c r="U17" s="480"/>
      <c r="V17" s="480"/>
      <c r="W17" s="480"/>
      <c r="X17" s="480"/>
      <c r="Y17" s="480"/>
      <c r="Z17" s="480"/>
      <c r="AA17" s="480"/>
      <c r="AC17" s="781"/>
      <c r="AF17" s="481"/>
    </row>
    <row r="18" spans="1:32" ht="14.45" customHeight="1">
      <c r="A18" s="280"/>
      <c r="B18" s="14"/>
      <c r="C18" s="13"/>
      <c r="G18" s="123"/>
      <c r="U18" s="480"/>
      <c r="V18" s="480"/>
      <c r="W18" s="480"/>
      <c r="X18" s="480"/>
      <c r="Y18" s="480"/>
      <c r="Z18" s="480"/>
      <c r="AA18" s="480"/>
      <c r="AC18" s="781"/>
      <c r="AF18" s="481"/>
    </row>
    <row r="19" spans="1:32" ht="13.9" customHeight="1">
      <c r="A19" s="280"/>
      <c r="B19" s="14"/>
      <c r="C19" s="13"/>
      <c r="G19" s="123"/>
      <c r="U19" s="480"/>
      <c r="V19" s="480"/>
      <c r="W19" s="480"/>
      <c r="X19" s="480"/>
      <c r="Y19" s="480"/>
      <c r="Z19" s="480"/>
      <c r="AA19" s="480"/>
      <c r="AC19" s="781"/>
      <c r="AF19" s="481"/>
    </row>
    <row r="20" spans="1:32" ht="18">
      <c r="A20" s="281"/>
      <c r="B20" s="156"/>
      <c r="U20" s="480"/>
      <c r="V20" s="480"/>
      <c r="W20" s="480"/>
      <c r="X20" s="480"/>
      <c r="Y20" s="480"/>
      <c r="Z20" s="480"/>
      <c r="AA20" s="480"/>
      <c r="AC20" s="781"/>
      <c r="AF20" s="481"/>
    </row>
    <row r="21" spans="1:32" ht="18">
      <c r="A21" s="278" t="s">
        <v>91</v>
      </c>
      <c r="B21" s="279">
        <v>43333.599999999999</v>
      </c>
      <c r="C21" s="282"/>
      <c r="U21" s="480"/>
      <c r="V21" s="480"/>
      <c r="W21" s="480"/>
      <c r="X21" s="480"/>
      <c r="Y21" s="480"/>
      <c r="Z21" s="480"/>
      <c r="AA21" s="480"/>
      <c r="AC21" s="781"/>
      <c r="AF21" s="481"/>
    </row>
    <row r="22" spans="1:32" ht="18">
      <c r="A22" s="278" t="s">
        <v>92</v>
      </c>
      <c r="B22" s="279">
        <v>49079.02</v>
      </c>
      <c r="C22" s="283"/>
      <c r="U22" s="480"/>
      <c r="V22" s="480"/>
      <c r="W22" s="480"/>
      <c r="X22" s="480"/>
      <c r="Y22" s="480"/>
      <c r="Z22" s="480"/>
      <c r="AA22" s="480"/>
      <c r="AC22" s="781"/>
      <c r="AF22" s="481"/>
    </row>
    <row r="23" spans="1:32" ht="18">
      <c r="A23" s="278" t="s">
        <v>93</v>
      </c>
      <c r="B23" s="279">
        <v>21300.06</v>
      </c>
      <c r="C23" s="282"/>
      <c r="U23" s="480"/>
      <c r="V23" s="480"/>
      <c r="W23" s="480"/>
      <c r="X23" s="480"/>
      <c r="Y23" s="480"/>
      <c r="Z23" s="480"/>
      <c r="AA23" s="480"/>
      <c r="AC23" s="781"/>
      <c r="AF23" s="481"/>
    </row>
    <row r="24" spans="1:32" ht="26.45">
      <c r="A24" s="278" t="s">
        <v>94</v>
      </c>
      <c r="B24" s="279">
        <v>5745.5</v>
      </c>
      <c r="C24" s="282"/>
      <c r="U24" s="480"/>
      <c r="V24" s="480"/>
      <c r="W24" s="480"/>
      <c r="X24" s="480"/>
      <c r="Y24" s="480"/>
      <c r="Z24" s="480"/>
      <c r="AA24" s="480"/>
      <c r="AC24" s="781"/>
      <c r="AF24" s="481"/>
    </row>
    <row r="25" spans="1:32" ht="18">
      <c r="B25" s="156"/>
      <c r="U25" s="480"/>
      <c r="V25" s="480"/>
      <c r="W25" s="480"/>
      <c r="X25" s="480"/>
      <c r="Y25" s="480"/>
      <c r="Z25" s="480"/>
      <c r="AA25" s="480"/>
      <c r="AC25" s="781"/>
    </row>
    <row r="26" spans="1:32" ht="18">
      <c r="B26" s="156"/>
      <c r="U26" s="480"/>
      <c r="V26" s="480"/>
      <c r="W26" s="480"/>
      <c r="X26" s="480"/>
      <c r="Y26" s="480"/>
      <c r="Z26" s="480"/>
      <c r="AA26" s="480"/>
      <c r="AC26" s="781"/>
    </row>
    <row r="27" spans="1:32" ht="18">
      <c r="B27" s="156"/>
      <c r="U27" s="480"/>
      <c r="V27" s="480"/>
      <c r="W27" s="480"/>
      <c r="X27" s="480"/>
      <c r="Y27" s="480"/>
      <c r="Z27" s="480"/>
      <c r="AA27" s="480"/>
      <c r="AC27" s="781"/>
    </row>
    <row r="30" spans="1:32" ht="22.15" customHeight="1">
      <c r="A30" s="10"/>
      <c r="B30" s="10"/>
      <c r="C30" s="10"/>
      <c r="D30" s="10"/>
      <c r="E30" s="10"/>
      <c r="F30" s="10"/>
      <c r="G30" s="10"/>
      <c r="U30" s="480"/>
      <c r="V30" s="480"/>
      <c r="W30" s="480"/>
      <c r="X30" s="480"/>
      <c r="Y30" s="480"/>
      <c r="Z30" s="480"/>
      <c r="AA30"/>
    </row>
    <row r="31" spans="1:32" ht="18">
      <c r="A31" s="10"/>
      <c r="B31" s="10"/>
      <c r="C31" s="10"/>
      <c r="D31" s="10"/>
      <c r="E31" s="10"/>
      <c r="F31" s="10"/>
      <c r="G31" s="10"/>
      <c r="U31" s="480"/>
      <c r="V31" s="480"/>
      <c r="W31" s="480"/>
      <c r="X31" s="480"/>
      <c r="Y31" s="480"/>
      <c r="Z31" s="480"/>
      <c r="AA31"/>
    </row>
    <row r="32" spans="1:32" s="24" customFormat="1" ht="13.15">
      <c r="A32" s="24" t="s">
        <v>95</v>
      </c>
      <c r="G32" s="25"/>
      <c r="H32" s="27"/>
    </row>
    <row r="33" spans="1:30" ht="18">
      <c r="U33" s="480"/>
      <c r="V33" s="480"/>
      <c r="W33" s="480"/>
      <c r="X33" s="480"/>
      <c r="Y33" s="480"/>
      <c r="Z33" s="480"/>
      <c r="AA33"/>
    </row>
    <row r="34" spans="1:30" ht="18">
      <c r="U34" s="480"/>
      <c r="V34" s="480"/>
      <c r="W34" s="480"/>
      <c r="X34" s="480"/>
      <c r="Y34" s="480"/>
      <c r="Z34" s="480"/>
      <c r="AA34"/>
    </row>
    <row r="35" spans="1:30" ht="24" customHeight="1">
      <c r="A35" s="859" t="s">
        <v>96</v>
      </c>
      <c r="B35" s="860"/>
      <c r="C35" s="860"/>
      <c r="D35" s="860"/>
      <c r="E35" s="860"/>
      <c r="F35" s="860"/>
      <c r="G35" s="860"/>
      <c r="H35" s="860"/>
      <c r="I35" s="860"/>
      <c r="J35" s="860"/>
      <c r="K35" s="860"/>
      <c r="L35" s="860"/>
      <c r="M35" s="860"/>
      <c r="N35" s="860"/>
      <c r="O35" s="860"/>
      <c r="P35" s="860"/>
      <c r="Q35" s="861"/>
      <c r="U35" s="480"/>
      <c r="V35" s="480"/>
      <c r="W35" s="480"/>
      <c r="X35" s="480"/>
      <c r="Y35" s="480"/>
      <c r="Z35" s="480"/>
      <c r="AA35" s="480"/>
      <c r="AB35"/>
      <c r="AC35" s="781"/>
    </row>
    <row r="36" spans="1:30" s="10" customFormat="1" ht="14.65" customHeight="1">
      <c r="B36" s="471" t="s">
        <v>97</v>
      </c>
      <c r="C36" s="472" t="s">
        <v>98</v>
      </c>
      <c r="G36" s="857" t="s">
        <v>99</v>
      </c>
      <c r="H36" s="851" t="s">
        <v>97</v>
      </c>
      <c r="I36" s="852"/>
      <c r="J36" s="852"/>
      <c r="K36" s="853"/>
      <c r="L36" s="848" t="s">
        <v>98</v>
      </c>
      <c r="M36" s="849"/>
      <c r="N36" s="849"/>
      <c r="O36" s="849"/>
      <c r="P36" s="849"/>
      <c r="Q36" s="850"/>
      <c r="U36" s="480"/>
      <c r="V36" s="480"/>
      <c r="W36" s="480"/>
      <c r="X36" s="480"/>
      <c r="Y36" s="480"/>
      <c r="Z36" s="480"/>
      <c r="AA36" s="480"/>
      <c r="AB36" s="480"/>
    </row>
    <row r="37" spans="1:30" s="10" customFormat="1" ht="114.6" customHeight="1">
      <c r="A37" s="17" t="s">
        <v>100</v>
      </c>
      <c r="B37" s="808"/>
      <c r="C37" s="808"/>
      <c r="G37" s="858"/>
      <c r="H37" s="224" t="s">
        <v>101</v>
      </c>
      <c r="I37" s="224" t="s">
        <v>102</v>
      </c>
      <c r="J37" s="224" t="s">
        <v>103</v>
      </c>
      <c r="K37" s="224" t="s">
        <v>104</v>
      </c>
      <c r="L37" s="225" t="s">
        <v>105</v>
      </c>
      <c r="M37" s="225" t="s">
        <v>102</v>
      </c>
      <c r="N37" s="225" t="s">
        <v>103</v>
      </c>
      <c r="O37" s="225" t="s">
        <v>104</v>
      </c>
      <c r="P37" s="225" t="s">
        <v>106</v>
      </c>
      <c r="Q37" s="225" t="s">
        <v>107</v>
      </c>
      <c r="S37" s="489"/>
      <c r="T37" s="489"/>
      <c r="U37" s="489"/>
      <c r="V37" s="489"/>
      <c r="W37" s="489"/>
      <c r="X37" s="489"/>
      <c r="Y37" s="489"/>
      <c r="Z37" s="489"/>
      <c r="AA37" s="489"/>
      <c r="AB37" s="480"/>
    </row>
    <row r="38" spans="1:30" s="10" customFormat="1" ht="18">
      <c r="A38" s="17" t="s">
        <v>108</v>
      </c>
      <c r="B38" s="28" t="s">
        <v>109</v>
      </c>
      <c r="C38" s="28" t="s">
        <v>110</v>
      </c>
      <c r="G38" s="170" t="s">
        <v>111</v>
      </c>
      <c r="H38" s="475">
        <v>0.15972920016077169</v>
      </c>
      <c r="I38" s="484">
        <v>399.98691108493324</v>
      </c>
      <c r="J38" s="476">
        <v>0.50000416128000003</v>
      </c>
      <c r="K38" s="476">
        <v>0.50000416128000003</v>
      </c>
      <c r="L38" s="477">
        <v>0.34809077279566075</v>
      </c>
      <c r="M38" s="485">
        <v>175.98993531320397</v>
      </c>
      <c r="N38" s="263">
        <v>0.40970240640000005</v>
      </c>
      <c r="O38" s="263">
        <v>0.97733998079999995</v>
      </c>
      <c r="P38" s="263">
        <v>0.97733998079999995</v>
      </c>
      <c r="Q38" s="263">
        <v>0</v>
      </c>
      <c r="S38" s="49"/>
      <c r="T38" s="458"/>
      <c r="U38" s="458"/>
      <c r="V38" s="480"/>
      <c r="W38" s="49"/>
      <c r="X38" s="458"/>
      <c r="Y38" s="458"/>
      <c r="Z38" s="458"/>
      <c r="AA38" s="458"/>
      <c r="AB38" s="480"/>
    </row>
    <row r="39" spans="1:30" s="10" customFormat="1" ht="18">
      <c r="A39" s="17" t="s">
        <v>112</v>
      </c>
      <c r="B39" s="173">
        <f>CONVERT(6369.28,"m2","ft2")</f>
        <v>68558.359338940907</v>
      </c>
      <c r="C39" s="173">
        <f>CONVERT(11345.29,"m2","ft2")</f>
        <v>122119.68521159264</v>
      </c>
      <c r="G39" s="170" t="s">
        <v>113</v>
      </c>
      <c r="H39" s="478">
        <v>0.47920644091639869</v>
      </c>
      <c r="I39" s="484">
        <v>399.98691108493324</v>
      </c>
      <c r="J39" s="476">
        <v>0.50000416128000003</v>
      </c>
      <c r="K39" s="476">
        <v>0.50000416128000003</v>
      </c>
      <c r="L39" s="477">
        <v>6.1905446032810695E-2</v>
      </c>
      <c r="M39" s="485">
        <v>279.96930993861986</v>
      </c>
      <c r="N39" s="263">
        <v>0.40970240640000005</v>
      </c>
      <c r="O39" s="263">
        <v>0.62709552000000002</v>
      </c>
      <c r="P39" s="263">
        <v>0.62709552000000002</v>
      </c>
      <c r="Q39" s="263">
        <v>0</v>
      </c>
      <c r="S39" s="483"/>
      <c r="T39" s="458"/>
      <c r="U39" s="458"/>
      <c r="V39" s="480"/>
      <c r="W39" s="483"/>
      <c r="X39" s="458"/>
      <c r="Y39" s="458"/>
      <c r="Z39" s="458"/>
      <c r="AA39" s="458"/>
      <c r="AB39" s="480"/>
    </row>
    <row r="40" spans="1:30" s="254" customFormat="1" ht="18">
      <c r="A40" s="28" t="s">
        <v>114</v>
      </c>
      <c r="B40" s="28" t="s">
        <v>115</v>
      </c>
      <c r="C40" s="28" t="s">
        <v>116</v>
      </c>
      <c r="D40" s="781"/>
      <c r="E40" s="781"/>
      <c r="F40" s="781"/>
      <c r="G40" s="170" t="s">
        <v>117</v>
      </c>
      <c r="H40" s="479">
        <v>8.0467493971061094E-2</v>
      </c>
      <c r="I40" s="484">
        <v>199.99345554246662</v>
      </c>
      <c r="J40" s="476">
        <v>0.40000332902400004</v>
      </c>
      <c r="K40" s="476">
        <v>0</v>
      </c>
      <c r="L40" s="477">
        <v>0.17360953807128521</v>
      </c>
      <c r="M40" s="485">
        <v>199.99345554246662</v>
      </c>
      <c r="N40" s="263">
        <v>0.41806367999999999</v>
      </c>
      <c r="O40" s="263">
        <v>0</v>
      </c>
      <c r="P40" s="263">
        <v>0</v>
      </c>
      <c r="Q40" s="263">
        <v>0</v>
      </c>
      <c r="R40" s="781"/>
      <c r="S40" s="483"/>
      <c r="T40" s="458"/>
      <c r="U40" s="458"/>
      <c r="V40" s="480"/>
      <c r="W40" s="483"/>
      <c r="X40" s="458"/>
      <c r="Y40" s="458"/>
      <c r="Z40" s="458"/>
      <c r="AA40" s="458"/>
      <c r="AB40" s="480"/>
      <c r="AC40" s="781"/>
      <c r="AD40" s="781"/>
    </row>
    <row r="41" spans="1:30" s="10" customFormat="1" ht="18">
      <c r="A41" s="17" t="s">
        <v>118</v>
      </c>
      <c r="B41" s="28" t="s">
        <v>116</v>
      </c>
      <c r="C41" s="28" t="s">
        <v>119</v>
      </c>
      <c r="G41" s="170" t="s">
        <v>120</v>
      </c>
      <c r="H41" s="157">
        <v>1.1665368770096463E-2</v>
      </c>
      <c r="I41" s="485">
        <v>30.031310062620125</v>
      </c>
      <c r="J41" s="263">
        <v>0.40000332902400004</v>
      </c>
      <c r="K41" s="263">
        <v>0.50000416128000003</v>
      </c>
      <c r="L41" s="226">
        <v>2.9232245901307016E-2</v>
      </c>
      <c r="M41" s="485">
        <v>14.316000854223931</v>
      </c>
      <c r="N41" s="263">
        <v>0.72185662080000002</v>
      </c>
      <c r="O41" s="261">
        <v>6.3006841727999996</v>
      </c>
      <c r="P41" s="261">
        <v>6.3006841727999996</v>
      </c>
      <c r="Q41" s="263">
        <v>0</v>
      </c>
      <c r="S41" s="483"/>
      <c r="T41" s="458"/>
      <c r="U41" s="458"/>
      <c r="V41" s="480"/>
      <c r="W41" s="483"/>
      <c r="X41" s="458"/>
      <c r="Y41" s="458"/>
      <c r="Z41" s="458"/>
      <c r="AA41" s="458"/>
      <c r="AB41" s="480"/>
    </row>
    <row r="42" spans="1:30" s="10" customFormat="1" ht="18">
      <c r="A42" s="17" t="s">
        <v>121</v>
      </c>
      <c r="B42" s="28">
        <v>12</v>
      </c>
      <c r="C42" s="28">
        <v>179</v>
      </c>
      <c r="G42" s="170" t="s">
        <v>122</v>
      </c>
      <c r="H42" s="157">
        <v>1.4568365655144697E-2</v>
      </c>
      <c r="I42" s="485">
        <v>399.98691108493324</v>
      </c>
      <c r="J42" s="263">
        <v>0.94999861612799996</v>
      </c>
      <c r="K42" s="263">
        <v>7.7591225462400004</v>
      </c>
      <c r="L42" s="226">
        <v>9.1047789953718102E-3</v>
      </c>
      <c r="M42" s="485">
        <v>50.052183437700208</v>
      </c>
      <c r="N42" s="263">
        <v>1.1305370937600001</v>
      </c>
      <c r="O42" s="261">
        <v>272.34526176000003</v>
      </c>
      <c r="P42" s="261">
        <v>47.588931918720007</v>
      </c>
      <c r="Q42" s="261">
        <v>224.75660855040002</v>
      </c>
      <c r="S42" s="483"/>
      <c r="T42" s="458"/>
      <c r="U42" s="458"/>
      <c r="V42" s="480"/>
      <c r="W42" s="483"/>
      <c r="X42" s="458"/>
      <c r="Y42" s="458"/>
      <c r="Z42" s="458"/>
      <c r="AA42" s="458"/>
      <c r="AB42" s="480"/>
    </row>
    <row r="43" spans="1:30" s="10" customFormat="1" ht="18">
      <c r="A43" s="17" t="s">
        <v>123</v>
      </c>
      <c r="B43" s="258">
        <v>0.2228</v>
      </c>
      <c r="C43" s="258">
        <v>0.30149999999999999</v>
      </c>
      <c r="G43" s="170" t="s">
        <v>124</v>
      </c>
      <c r="H43" s="157">
        <v>0.11990366258038586</v>
      </c>
      <c r="I43" s="485">
        <v>30.031310062620125</v>
      </c>
      <c r="J43" s="263">
        <v>0.699996535488</v>
      </c>
      <c r="K43" s="263">
        <v>0.50000416128000003</v>
      </c>
      <c r="L43" s="226">
        <v>0.11530281543035285</v>
      </c>
      <c r="M43" s="485">
        <v>33.368122291800141</v>
      </c>
      <c r="N43" s="263">
        <v>0.75994686720000004</v>
      </c>
      <c r="O43" s="263">
        <v>0.74972753280000004</v>
      </c>
      <c r="P43" s="263">
        <v>0.74972753280000004</v>
      </c>
      <c r="Q43" s="261">
        <v>0</v>
      </c>
      <c r="S43" s="483"/>
      <c r="T43" s="458"/>
      <c r="U43" s="458"/>
      <c r="V43" s="480"/>
      <c r="W43" s="483"/>
      <c r="X43" s="458"/>
      <c r="Y43" s="458"/>
      <c r="Z43" s="458"/>
      <c r="AA43" s="458"/>
      <c r="AB43" s="480"/>
    </row>
    <row r="44" spans="1:30" s="10" customFormat="1" ht="18">
      <c r="A44" s="494" t="s">
        <v>125</v>
      </c>
      <c r="G44" s="170" t="s">
        <v>126</v>
      </c>
      <c r="H44" s="157">
        <v>5.9948691217845657E-2</v>
      </c>
      <c r="I44" s="485">
        <v>199.99345554246662</v>
      </c>
      <c r="J44" s="263">
        <v>0.45000374515199998</v>
      </c>
      <c r="K44" s="263">
        <v>3.2200007857919997</v>
      </c>
      <c r="L44" s="227">
        <v>6.8783828925345226E-3</v>
      </c>
      <c r="M44" s="486">
        <v>99.99672777123331</v>
      </c>
      <c r="N44" s="264">
        <v>0.48402483839999999</v>
      </c>
      <c r="O44" s="262">
        <v>55.512353491200003</v>
      </c>
      <c r="P44" s="264">
        <v>5.7302595072000004</v>
      </c>
      <c r="Q44" s="262">
        <v>49.782093984000007</v>
      </c>
      <c r="S44" s="483"/>
      <c r="T44" s="458"/>
      <c r="U44" s="458"/>
      <c r="V44" s="480"/>
      <c r="W44" s="483"/>
      <c r="X44" s="458"/>
      <c r="Y44" s="458"/>
      <c r="Z44" s="458"/>
      <c r="AA44" s="458"/>
      <c r="AB44" s="480"/>
    </row>
    <row r="45" spans="1:30" s="10" customFormat="1" ht="18">
      <c r="A45" s="17" t="s">
        <v>127</v>
      </c>
      <c r="B45" s="173">
        <v>6744.9891844228132</v>
      </c>
      <c r="C45" s="173">
        <v>13065.126824698093</v>
      </c>
      <c r="G45" s="170" t="s">
        <v>128</v>
      </c>
      <c r="H45" s="157">
        <v>5.9948691217845657E-2</v>
      </c>
      <c r="I45" s="485">
        <v>199.99345554246662</v>
      </c>
      <c r="J45" s="263">
        <v>0.59999570323200002</v>
      </c>
      <c r="K45" s="265">
        <v>1.5000031935360001</v>
      </c>
      <c r="L45" s="228"/>
      <c r="M45" s="487"/>
      <c r="N45" s="266"/>
      <c r="O45" s="266"/>
      <c r="P45" s="266"/>
      <c r="Q45" s="266"/>
      <c r="S45" s="483"/>
      <c r="T45" s="458"/>
      <c r="U45" s="458"/>
      <c r="V45" s="480"/>
      <c r="W45" s="483"/>
      <c r="X45" s="458"/>
      <c r="Y45" s="458"/>
      <c r="Z45" s="458"/>
      <c r="AA45" s="458"/>
      <c r="AB45" s="480"/>
    </row>
    <row r="46" spans="1:30" s="260" customFormat="1" ht="18">
      <c r="A46" s="28" t="s">
        <v>129</v>
      </c>
      <c r="B46" s="259">
        <v>0</v>
      </c>
      <c r="C46" s="259">
        <v>0</v>
      </c>
      <c r="G46" s="170" t="s">
        <v>130</v>
      </c>
      <c r="H46" s="158">
        <v>1.4568365655144697E-2</v>
      </c>
      <c r="I46" s="486">
        <v>30.031310062620125</v>
      </c>
      <c r="J46" s="264">
        <v>0.40000332902400004</v>
      </c>
      <c r="K46" s="267">
        <v>0.50000416128000003</v>
      </c>
      <c r="L46" s="228"/>
      <c r="M46" s="488"/>
      <c r="N46" s="473"/>
      <c r="O46" s="473"/>
      <c r="P46" s="474"/>
      <c r="Q46" s="474"/>
      <c r="S46" s="483"/>
      <c r="T46" s="458"/>
      <c r="U46" s="458"/>
      <c r="V46" s="480"/>
      <c r="W46" s="483"/>
      <c r="X46" s="458"/>
      <c r="Y46" s="458"/>
      <c r="Z46" s="458"/>
      <c r="AA46" s="458"/>
      <c r="AB46" s="480"/>
      <c r="AD46" s="10"/>
    </row>
    <row r="47" spans="1:30" s="10" customFormat="1" ht="18">
      <c r="A47" s="17" t="s">
        <v>131</v>
      </c>
      <c r="B47" s="173">
        <v>239.81992408429261</v>
      </c>
      <c r="C47" s="173">
        <v>21300.056489001865</v>
      </c>
      <c r="G47" s="269" t="s">
        <v>132</v>
      </c>
      <c r="H47" s="268"/>
      <c r="I47" s="266"/>
      <c r="J47" s="266"/>
      <c r="K47" s="266"/>
      <c r="L47" s="159">
        <v>0.17441248615112875</v>
      </c>
      <c r="M47" s="490">
        <v>199.99345554246662</v>
      </c>
      <c r="N47" s="491">
        <v>0.57599884800000001</v>
      </c>
      <c r="O47" s="491">
        <v>0.49981835520000001</v>
      </c>
      <c r="P47" s="491">
        <v>0.49981835520000001</v>
      </c>
      <c r="Q47" s="491">
        <v>0</v>
      </c>
      <c r="S47" s="483"/>
      <c r="T47" s="458"/>
      <c r="U47" s="458"/>
      <c r="V47" s="480"/>
      <c r="W47" s="483"/>
      <c r="X47" s="458"/>
      <c r="Y47" s="458"/>
      <c r="Z47" s="458"/>
      <c r="AA47" s="458"/>
      <c r="AB47" s="480"/>
    </row>
    <row r="48" spans="1:30" s="10" customFormat="1" ht="18">
      <c r="A48" s="17" t="s">
        <v>133</v>
      </c>
      <c r="B48" s="173">
        <v>30277.695972058609</v>
      </c>
      <c r="C48" s="173">
        <v>49079.018296925489</v>
      </c>
      <c r="G48" s="269" t="s">
        <v>134</v>
      </c>
      <c r="H48" s="268"/>
      <c r="I48" s="266"/>
      <c r="J48" s="266"/>
      <c r="K48" s="266"/>
      <c r="L48" s="160">
        <v>1.2757267297096959E-2</v>
      </c>
      <c r="M48" s="485">
        <v>66.628605479433176</v>
      </c>
      <c r="N48" s="263">
        <v>0.70234698240000004</v>
      </c>
      <c r="O48" s="263">
        <v>0.99963671040000002</v>
      </c>
      <c r="P48" s="263">
        <v>0.49981835520000001</v>
      </c>
      <c r="Q48" s="263">
        <v>0</v>
      </c>
      <c r="S48" s="483"/>
      <c r="T48" s="458"/>
      <c r="U48" s="458"/>
      <c r="V48" s="480"/>
      <c r="W48" s="483"/>
      <c r="X48" s="458"/>
      <c r="Y48" s="458"/>
      <c r="Z48" s="458"/>
      <c r="AA48" s="458"/>
      <c r="AB48" s="480"/>
    </row>
    <row r="49" spans="1:28" s="10" customFormat="1" ht="18">
      <c r="A49" s="17" t="s">
        <v>135</v>
      </c>
      <c r="B49" s="173">
        <v>30277.695972058609</v>
      </c>
      <c r="C49" s="173">
        <v>43333.565833798333</v>
      </c>
      <c r="G49" s="269" t="s">
        <v>136</v>
      </c>
      <c r="H49" s="268"/>
      <c r="I49" s="266"/>
      <c r="J49" s="266"/>
      <c r="K49" s="266"/>
      <c r="L49" s="160">
        <v>1.4475981628265888E-2</v>
      </c>
      <c r="M49" s="485">
        <v>666.60897210683311</v>
      </c>
      <c r="N49" s="263">
        <v>0.67447607040000002</v>
      </c>
      <c r="O49" s="263">
        <v>0.49981835520000001</v>
      </c>
      <c r="P49" s="263">
        <v>0.49981835520000001</v>
      </c>
      <c r="Q49" s="263">
        <v>0</v>
      </c>
      <c r="S49" s="483"/>
      <c r="T49" s="458"/>
      <c r="U49" s="458"/>
      <c r="V49"/>
      <c r="W49" s="483"/>
      <c r="X49" s="458"/>
      <c r="Y49" s="458"/>
      <c r="Z49" s="458"/>
      <c r="AA49" s="458"/>
      <c r="AB49" s="480"/>
    </row>
    <row r="50" spans="1:28" s="10" customFormat="1" ht="18">
      <c r="A50" s="11" t="s">
        <v>137</v>
      </c>
      <c r="G50" s="269" t="s">
        <v>138</v>
      </c>
      <c r="H50" s="268"/>
      <c r="I50" s="266"/>
      <c r="J50" s="266"/>
      <c r="K50" s="266"/>
      <c r="L50" s="160">
        <v>8.3520702575162909E-3</v>
      </c>
      <c r="M50" s="485">
        <v>499.98363885616664</v>
      </c>
      <c r="N50" s="263">
        <v>0.35117349120000002</v>
      </c>
      <c r="O50" s="263">
        <v>0.2499091776</v>
      </c>
      <c r="P50" s="263">
        <v>0.2499091776</v>
      </c>
      <c r="Q50" s="263">
        <v>0</v>
      </c>
      <c r="S50" s="483"/>
      <c r="T50" s="458"/>
      <c r="U50" s="458"/>
      <c r="V50"/>
      <c r="W50" s="483"/>
      <c r="X50" s="458"/>
      <c r="Y50" s="458"/>
      <c r="Z50" s="458"/>
      <c r="AA50" s="458"/>
      <c r="AB50" s="480"/>
    </row>
    <row r="51" spans="1:28" s="10" customFormat="1" ht="26.45">
      <c r="A51" s="17" t="s">
        <v>139</v>
      </c>
      <c r="B51" s="112" t="s">
        <v>140</v>
      </c>
      <c r="C51" s="112" t="s">
        <v>141</v>
      </c>
      <c r="G51" s="269" t="s">
        <v>142</v>
      </c>
      <c r="H51" s="268"/>
      <c r="I51" s="266"/>
      <c r="J51" s="266"/>
      <c r="K51" s="266"/>
      <c r="L51" s="160">
        <v>1.6645968645362247E-2</v>
      </c>
      <c r="M51" s="485">
        <v>14.316000854223931</v>
      </c>
      <c r="N51" s="263">
        <v>0.72185662080000002</v>
      </c>
      <c r="O51" s="263">
        <v>0.49981835520000001</v>
      </c>
      <c r="P51" s="263">
        <v>0.49981835520000001</v>
      </c>
      <c r="Q51" s="263">
        <v>0</v>
      </c>
      <c r="S51" s="483"/>
      <c r="T51" s="458"/>
      <c r="U51" s="458"/>
      <c r="V51"/>
      <c r="W51" s="483"/>
      <c r="X51" s="458"/>
      <c r="Y51" s="458"/>
      <c r="Z51" s="458"/>
      <c r="AA51" s="458"/>
      <c r="AB51" s="480"/>
    </row>
    <row r="52" spans="1:28" s="10" customFormat="1" ht="16.149999999999999" customHeight="1">
      <c r="A52" s="17" t="s">
        <v>143</v>
      </c>
      <c r="B52" s="112" t="s">
        <v>144</v>
      </c>
      <c r="C52" s="112" t="s">
        <v>145</v>
      </c>
      <c r="G52" s="269" t="s">
        <v>146</v>
      </c>
      <c r="H52" s="268"/>
      <c r="I52" s="266"/>
      <c r="J52" s="266"/>
      <c r="K52" s="266"/>
      <c r="L52" s="160">
        <v>2.9232245901307016E-2</v>
      </c>
      <c r="M52" s="485">
        <v>14.316000854223931</v>
      </c>
      <c r="N52" s="263">
        <v>0.72185662080000002</v>
      </c>
      <c r="O52" s="263">
        <v>6.3006841727999996</v>
      </c>
      <c r="P52" s="263">
        <v>6.3006841727999996</v>
      </c>
      <c r="Q52" s="263">
        <v>0</v>
      </c>
      <c r="S52" s="483"/>
      <c r="T52" s="458"/>
      <c r="U52" s="458"/>
      <c r="V52"/>
      <c r="W52" s="483"/>
      <c r="X52" s="458"/>
      <c r="Y52" s="458"/>
      <c r="Z52" s="458"/>
      <c r="AA52" s="458"/>
      <c r="AB52" s="480"/>
    </row>
    <row r="53" spans="1:28" s="10" customFormat="1" ht="24.6" customHeight="1">
      <c r="A53" s="17" t="s">
        <v>147</v>
      </c>
      <c r="B53" s="112" t="s">
        <v>148</v>
      </c>
      <c r="C53" s="112" t="s">
        <v>149</v>
      </c>
      <c r="U53" s="482"/>
      <c r="V53" s="480"/>
      <c r="W53" s="480"/>
      <c r="X53" s="480"/>
      <c r="Y53" s="480"/>
      <c r="Z53" s="480"/>
      <c r="AA53"/>
      <c r="AB53" s="480"/>
    </row>
    <row r="54" spans="1:28" s="10" customFormat="1" ht="18">
      <c r="A54" s="17" t="s">
        <v>150</v>
      </c>
      <c r="B54" s="28" t="s">
        <v>151</v>
      </c>
      <c r="C54" s="112" t="s">
        <v>152</v>
      </c>
      <c r="U54" s="480"/>
      <c r="V54" s="480"/>
      <c r="W54" s="480"/>
      <c r="X54" s="480"/>
      <c r="Y54" s="480"/>
      <c r="Z54" s="480"/>
      <c r="AA54"/>
      <c r="AB54" s="480"/>
    </row>
    <row r="55" spans="1:28" s="10" customFormat="1" ht="18">
      <c r="A55" s="17" t="s">
        <v>153</v>
      </c>
      <c r="B55" s="112" t="s">
        <v>116</v>
      </c>
      <c r="C55" s="112" t="s">
        <v>119</v>
      </c>
      <c r="U55" s="480"/>
      <c r="V55" s="480"/>
      <c r="W55" s="480"/>
      <c r="X55" s="480"/>
      <c r="Y55" s="480"/>
      <c r="Z55" s="480"/>
      <c r="AA55"/>
      <c r="AB55" s="480"/>
    </row>
    <row r="56" spans="1:28" s="10" customFormat="1" ht="18">
      <c r="A56" s="17" t="s">
        <v>154</v>
      </c>
      <c r="B56" s="112" t="s">
        <v>116</v>
      </c>
      <c r="C56" s="112" t="s">
        <v>116</v>
      </c>
      <c r="U56" s="480"/>
      <c r="V56" s="480"/>
      <c r="W56" s="480"/>
      <c r="X56" s="480"/>
      <c r="Y56" s="480"/>
      <c r="Z56" s="480"/>
      <c r="AA56"/>
      <c r="AB56" s="480"/>
    </row>
    <row r="57" spans="1:28" s="10" customFormat="1" ht="18">
      <c r="A57" s="17" t="s">
        <v>155</v>
      </c>
      <c r="B57" s="112" t="s">
        <v>116</v>
      </c>
      <c r="C57" s="112" t="s">
        <v>116</v>
      </c>
      <c r="U57" s="480"/>
      <c r="V57" s="480"/>
      <c r="W57" s="480"/>
      <c r="X57" s="480"/>
      <c r="Y57" s="480"/>
      <c r="Z57" s="480"/>
      <c r="AA57"/>
      <c r="AB57" s="480"/>
    </row>
    <row r="58" spans="1:28" s="10" customFormat="1" ht="18">
      <c r="A58" s="17" t="s">
        <v>156</v>
      </c>
      <c r="B58" s="112" t="s">
        <v>116</v>
      </c>
      <c r="C58" s="112" t="s">
        <v>116</v>
      </c>
      <c r="U58" s="480"/>
      <c r="V58" s="480"/>
      <c r="W58" s="480"/>
      <c r="X58" s="480"/>
      <c r="Y58" s="480"/>
      <c r="Z58" s="480"/>
      <c r="AA58"/>
      <c r="AB58" s="480"/>
    </row>
    <row r="59" spans="1:28" s="10" customFormat="1" ht="18">
      <c r="A59" s="17" t="s">
        <v>157</v>
      </c>
      <c r="B59" s="112" t="s">
        <v>116</v>
      </c>
      <c r="C59" s="112" t="s">
        <v>116</v>
      </c>
      <c r="U59" s="480"/>
      <c r="V59" s="480"/>
      <c r="W59" s="480"/>
      <c r="X59" s="480"/>
      <c r="Y59" s="480"/>
      <c r="Z59" s="480"/>
      <c r="AA59"/>
      <c r="AB59" s="480"/>
    </row>
    <row r="60" spans="1:28" s="10" customFormat="1" ht="18">
      <c r="A60" s="13"/>
      <c r="B60" s="13"/>
      <c r="C60" s="13"/>
      <c r="U60" s="480"/>
      <c r="V60" s="480"/>
      <c r="W60" s="480"/>
      <c r="X60" s="480"/>
      <c r="Y60" s="480"/>
      <c r="Z60" s="480"/>
      <c r="AA60"/>
      <c r="AB60" s="480"/>
    </row>
    <row r="61" spans="1:28" ht="100.15" customHeight="1">
      <c r="A61" s="17" t="s">
        <v>158</v>
      </c>
      <c r="B61" s="270" t="s">
        <v>159</v>
      </c>
      <c r="C61" s="270" t="s">
        <v>160</v>
      </c>
      <c r="D61" s="284"/>
      <c r="E61" s="15"/>
      <c r="F61" s="15"/>
      <c r="G61" s="10"/>
      <c r="U61" s="480"/>
      <c r="V61" s="480"/>
      <c r="W61" s="480"/>
      <c r="X61" s="480"/>
      <c r="Y61" s="480"/>
      <c r="Z61" s="480"/>
      <c r="AA61"/>
      <c r="AB61" s="480"/>
    </row>
    <row r="62" spans="1:28" ht="18">
      <c r="A62" s="121" t="s">
        <v>161</v>
      </c>
      <c r="B62" s="18" t="s">
        <v>162</v>
      </c>
      <c r="C62" s="168" t="s">
        <v>163</v>
      </c>
      <c r="D62" s="10"/>
      <c r="E62" s="10"/>
      <c r="F62" s="10"/>
      <c r="G62" s="10"/>
      <c r="U62" s="480"/>
      <c r="V62" s="480"/>
      <c r="W62" s="480"/>
      <c r="X62" s="480"/>
      <c r="Y62" s="480"/>
      <c r="Z62" s="480"/>
      <c r="AA62"/>
    </row>
    <row r="63" spans="1:28" ht="18">
      <c r="A63" s="121" t="s">
        <v>164</v>
      </c>
      <c r="B63" s="121"/>
      <c r="C63" s="168" t="s">
        <v>165</v>
      </c>
      <c r="D63" s="10"/>
      <c r="E63" s="10"/>
      <c r="F63" s="10"/>
      <c r="G63" s="10"/>
      <c r="U63" s="480"/>
      <c r="V63" s="480"/>
      <c r="W63" s="480"/>
      <c r="X63" s="480"/>
      <c r="Y63" s="480"/>
      <c r="Z63" s="480"/>
      <c r="AA63"/>
    </row>
    <row r="64" spans="1:28" ht="18">
      <c r="U64" s="480"/>
      <c r="V64" s="480"/>
      <c r="W64" s="480"/>
      <c r="X64" s="480"/>
      <c r="Y64" s="480"/>
      <c r="Z64" s="480"/>
      <c r="AA64"/>
    </row>
    <row r="65" spans="21:27" ht="18">
      <c r="U65" s="480"/>
      <c r="V65" s="480"/>
      <c r="W65" s="480"/>
      <c r="X65" s="480"/>
      <c r="Y65" s="480"/>
      <c r="Z65" s="480"/>
      <c r="AA65"/>
    </row>
    <row r="66" spans="21:27" ht="18">
      <c r="U66" s="480"/>
      <c r="V66" s="480"/>
      <c r="W66" s="480"/>
      <c r="X66" s="480"/>
      <c r="Y66" s="480"/>
      <c r="Z66" s="480"/>
      <c r="AA66"/>
    </row>
    <row r="67" spans="21:27" ht="18">
      <c r="U67" s="480"/>
      <c r="V67" s="480"/>
      <c r="W67" s="480"/>
      <c r="X67" s="480"/>
      <c r="Y67" s="480"/>
      <c r="Z67" s="480"/>
      <c r="AA67"/>
    </row>
    <row r="68" spans="21:27" ht="18">
      <c r="U68" s="480"/>
      <c r="V68" s="480"/>
      <c r="W68" s="480"/>
      <c r="X68" s="480"/>
      <c r="Y68" s="480"/>
      <c r="Z68" s="480"/>
      <c r="AA68"/>
    </row>
    <row r="69" spans="21:27" ht="18">
      <c r="U69" s="480"/>
      <c r="V69" s="480"/>
      <c r="W69" s="480"/>
      <c r="X69" s="480"/>
      <c r="Y69" s="480"/>
      <c r="Z69" s="480"/>
      <c r="AA69"/>
    </row>
    <row r="70" spans="21:27" ht="18">
      <c r="U70" s="480"/>
      <c r="V70" s="480"/>
      <c r="W70" s="480"/>
      <c r="X70" s="480"/>
      <c r="Y70" s="480"/>
      <c r="Z70" s="480"/>
      <c r="AA70"/>
    </row>
    <row r="71" spans="21:27" ht="18">
      <c r="U71" s="480"/>
      <c r="V71" s="480"/>
      <c r="W71" s="480"/>
      <c r="X71" s="480"/>
      <c r="Y71" s="480"/>
      <c r="Z71"/>
      <c r="AA71"/>
    </row>
  </sheetData>
  <mergeCells count="6">
    <mergeCell ref="L36:Q36"/>
    <mergeCell ref="H36:K36"/>
    <mergeCell ref="A1:C1"/>
    <mergeCell ref="A2:C2"/>
    <mergeCell ref="G36:G37"/>
    <mergeCell ref="A35:Q35"/>
  </mergeCells>
  <hyperlinks>
    <hyperlink ref="D6" r:id="rId1" display="https://2050partners.sharepoint.com/:w:/r/sites/CalBEMCollaborativeEfforts/Shared Documents/Working Group 1 - Streamlined Process/D - Complexity of Compliance/Prototype Unification/Project Development/Phase 2 (Collect Inputs) Development/NonRes-Vintage bins-Draft Report-30Nov2023-Final.docx?d=w8560be34ea9744e086bccf7767b0a3cf&amp;csf=1&amp;web=1&amp;e=tpxacv" xr:uid="{9B264631-F0F0-4192-B5C5-F574CB46B1DA}"/>
  </hyperlinks>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9DC9C1-ABE9-4C74-8C0A-F769CBEC5074}">
  <sheetPr codeName="Sheet5"/>
  <dimension ref="A1:Q55"/>
  <sheetViews>
    <sheetView zoomScale="70" zoomScaleNormal="70" workbookViewId="0">
      <selection sqref="A1:K1"/>
    </sheetView>
  </sheetViews>
  <sheetFormatPr defaultColWidth="8.7109375" defaultRowHeight="12.75" customHeight="1"/>
  <cols>
    <col min="1" max="1" width="31.42578125" style="10" customWidth="1"/>
    <col min="2" max="2" width="51.140625" style="10" customWidth="1"/>
    <col min="3" max="3" width="17" style="10" customWidth="1"/>
    <col min="4" max="4" width="23.85546875" style="10" customWidth="1"/>
    <col min="5" max="5" width="19.7109375" style="10" customWidth="1"/>
    <col min="6" max="6" width="13.5703125" style="10" customWidth="1"/>
    <col min="7" max="7" width="13.85546875" style="10" customWidth="1"/>
    <col min="8" max="8" width="12.7109375" style="10" customWidth="1"/>
    <col min="9" max="9" width="12" style="10" bestFit="1" customWidth="1"/>
    <col min="10" max="10" width="11.28515625" style="10" customWidth="1"/>
    <col min="11" max="11" width="30.7109375" style="10" customWidth="1"/>
    <col min="12" max="12" width="32" style="10" customWidth="1"/>
    <col min="13" max="13" width="28.42578125" style="10" customWidth="1"/>
    <col min="14" max="14" width="12.7109375" style="10" customWidth="1"/>
    <col min="15" max="15" width="25.28515625" style="10" customWidth="1"/>
    <col min="16" max="16" width="22.28515625" style="10" bestFit="1" customWidth="1"/>
    <col min="17" max="17" width="18.28515625" style="10" customWidth="1"/>
    <col min="18" max="18" width="25.7109375" style="10" customWidth="1"/>
    <col min="19" max="19" width="22.7109375" style="10" customWidth="1"/>
    <col min="20" max="20" width="16.28515625" style="10" customWidth="1"/>
    <col min="21" max="21" width="6.7109375" style="10" bestFit="1" customWidth="1"/>
    <col min="22" max="26" width="17.28515625" style="10" customWidth="1"/>
    <col min="27" max="16384" width="8.7109375" style="10"/>
  </cols>
  <sheetData>
    <row r="1" spans="1:16" ht="25.9" customHeight="1" thickBot="1">
      <c r="A1" s="843" t="str">
        <f>"Proposed Layout - "&amp;Prototype!A2</f>
        <v>Proposed Layout - HotelLarge</v>
      </c>
      <c r="B1" s="843"/>
      <c r="C1" s="843"/>
      <c r="D1" s="843"/>
      <c r="E1" s="843"/>
      <c r="F1" s="843"/>
      <c r="G1" s="843"/>
      <c r="H1" s="843"/>
      <c r="I1" s="843"/>
      <c r="J1" s="843"/>
      <c r="K1" s="843"/>
      <c r="L1" s="136"/>
      <c r="M1" s="136"/>
      <c r="N1" s="136"/>
      <c r="O1" s="136"/>
    </row>
    <row r="2" spans="1:16" ht="39.6" customHeight="1">
      <c r="A2" s="392" t="s">
        <v>166</v>
      </c>
      <c r="B2" s="392" t="s">
        <v>167</v>
      </c>
      <c r="C2" s="392" t="s">
        <v>168</v>
      </c>
      <c r="D2" s="392" t="s">
        <v>169</v>
      </c>
      <c r="E2" s="392" t="s">
        <v>170</v>
      </c>
      <c r="F2" s="792" t="s">
        <v>171</v>
      </c>
      <c r="G2" s="398" t="s">
        <v>172</v>
      </c>
      <c r="H2" s="392" t="s">
        <v>173</v>
      </c>
      <c r="I2" s="392" t="s">
        <v>174</v>
      </c>
      <c r="J2" s="318" t="s">
        <v>175</v>
      </c>
      <c r="K2" s="785" t="s">
        <v>176</v>
      </c>
      <c r="L2" s="392" t="s">
        <v>177</v>
      </c>
      <c r="M2" s="137"/>
      <c r="N2" s="138"/>
      <c r="O2" s="138"/>
      <c r="P2" s="139"/>
    </row>
    <row r="3" spans="1:16" ht="35.450000000000003" customHeight="1">
      <c r="A3" s="634" t="s">
        <v>178</v>
      </c>
      <c r="B3" s="634" t="s">
        <v>179</v>
      </c>
      <c r="C3" s="510"/>
      <c r="D3" s="400" t="s">
        <v>128</v>
      </c>
      <c r="E3" s="514" t="s">
        <v>180</v>
      </c>
      <c r="F3" s="421">
        <f>G3/$G$28</f>
        <v>4.8433613360755655E-2</v>
      </c>
      <c r="G3" s="400">
        <v>7454.9371290799945</v>
      </c>
      <c r="H3" s="400">
        <f>G3*10</f>
        <v>74549.371290799943</v>
      </c>
      <c r="I3" s="401">
        <v>1</v>
      </c>
      <c r="J3" s="400">
        <f t="shared" ref="J3:J6" si="0">K3*G3/1000</f>
        <v>246.01292525963984</v>
      </c>
      <c r="K3" s="393">
        <v>33</v>
      </c>
      <c r="L3" s="183"/>
      <c r="M3" s="140"/>
      <c r="N3" s="141"/>
      <c r="O3" s="141"/>
      <c r="P3" s="142"/>
    </row>
    <row r="4" spans="1:16" ht="35.450000000000003" customHeight="1">
      <c r="A4" s="635" t="s">
        <v>181</v>
      </c>
      <c r="B4" s="635" t="s">
        <v>182</v>
      </c>
      <c r="C4" s="510"/>
      <c r="D4" s="400" t="s">
        <v>128</v>
      </c>
      <c r="E4" s="514" t="s">
        <v>180</v>
      </c>
      <c r="F4" s="421">
        <f t="shared" ref="F4:F6" si="1">G4/$G$28</f>
        <v>2.7676350491860378E-2</v>
      </c>
      <c r="G4" s="400">
        <v>4259.9640737599975</v>
      </c>
      <c r="H4" s="400">
        <f t="shared" ref="H4:H6" si="2">G4*10</f>
        <v>42599.640737599977</v>
      </c>
      <c r="I4" s="401">
        <v>1</v>
      </c>
      <c r="J4" s="400">
        <f t="shared" si="0"/>
        <v>21.299820368799988</v>
      </c>
      <c r="K4" s="393">
        <v>5</v>
      </c>
      <c r="L4" s="183"/>
      <c r="M4" s="140"/>
      <c r="N4" s="141"/>
      <c r="O4" s="141"/>
      <c r="P4" s="142"/>
    </row>
    <row r="5" spans="1:16" ht="35.450000000000003" customHeight="1">
      <c r="A5" s="28" t="s">
        <v>183</v>
      </c>
      <c r="B5" s="28" t="s">
        <v>184</v>
      </c>
      <c r="C5" s="510"/>
      <c r="D5" s="400" t="s">
        <v>185</v>
      </c>
      <c r="E5" s="514" t="s">
        <v>180</v>
      </c>
      <c r="F5" s="421">
        <f t="shared" si="1"/>
        <v>4.1514525737790554E-2</v>
      </c>
      <c r="G5" s="400">
        <v>6389.9461106399949</v>
      </c>
      <c r="H5" s="400">
        <f t="shared" si="2"/>
        <v>63899.461106399947</v>
      </c>
      <c r="I5" s="401">
        <v>1</v>
      </c>
      <c r="J5" s="400">
        <f t="shared" si="0"/>
        <v>19.169838331919987</v>
      </c>
      <c r="K5" s="393">
        <v>3</v>
      </c>
      <c r="L5" s="183"/>
      <c r="M5" s="140"/>
      <c r="N5" s="141"/>
      <c r="O5" s="141"/>
      <c r="P5" s="142"/>
    </row>
    <row r="6" spans="1:16" ht="35.450000000000003" customHeight="1">
      <c r="A6" s="28" t="s">
        <v>186</v>
      </c>
      <c r="B6" s="28" t="s">
        <v>187</v>
      </c>
      <c r="C6" s="510"/>
      <c r="D6" s="400" t="s">
        <v>188</v>
      </c>
      <c r="E6" s="514" t="s">
        <v>180</v>
      </c>
      <c r="F6" s="421">
        <f t="shared" si="1"/>
        <v>2.0757262868895277E-2</v>
      </c>
      <c r="G6" s="400">
        <v>3194.9730553199975</v>
      </c>
      <c r="H6" s="400">
        <f t="shared" si="2"/>
        <v>31949.730553199974</v>
      </c>
      <c r="I6" s="401">
        <v>1</v>
      </c>
      <c r="J6" s="400">
        <f t="shared" si="0"/>
        <v>0</v>
      </c>
      <c r="K6" s="393">
        <v>0</v>
      </c>
      <c r="L6" s="183"/>
      <c r="M6" s="140"/>
      <c r="N6" s="141"/>
      <c r="O6" s="141"/>
      <c r="P6" s="142"/>
    </row>
    <row r="7" spans="1:16" ht="17.649999999999999" customHeight="1">
      <c r="A7" s="399" t="s">
        <v>189</v>
      </c>
      <c r="B7" s="425" t="s">
        <v>190</v>
      </c>
      <c r="C7" s="510"/>
      <c r="D7" s="400" t="s">
        <v>134</v>
      </c>
      <c r="E7" s="514" t="s">
        <v>180</v>
      </c>
      <c r="F7" s="421">
        <f t="shared" ref="F7:F27" si="3">G7/$G$28</f>
        <v>4.6902786684279978E-3</v>
      </c>
      <c r="G7" s="400">
        <v>721.93111694052288</v>
      </c>
      <c r="H7" s="400">
        <f t="shared" ref="H7:H13" si="4">G7*13</f>
        <v>9385.1045202267978</v>
      </c>
      <c r="I7" s="401">
        <v>1</v>
      </c>
      <c r="J7" s="400">
        <f>K7*G7/1000</f>
        <v>12.272828987988889</v>
      </c>
      <c r="K7" s="393">
        <v>17</v>
      </c>
      <c r="L7" s="183"/>
      <c r="M7" s="140"/>
      <c r="N7" s="141"/>
      <c r="O7" s="141"/>
      <c r="P7" s="142"/>
    </row>
    <row r="8" spans="1:16" ht="17.649999999999999" customHeight="1">
      <c r="A8" s="399" t="s">
        <v>191</v>
      </c>
      <c r="B8" s="425" t="s">
        <v>190</v>
      </c>
      <c r="C8" s="510"/>
      <c r="D8" s="400" t="s">
        <v>134</v>
      </c>
      <c r="E8" s="514" t="s">
        <v>180</v>
      </c>
      <c r="F8" s="421">
        <f t="shared" si="3"/>
        <v>5.4315482954644797E-3</v>
      </c>
      <c r="G8" s="400">
        <v>836.02787912286294</v>
      </c>
      <c r="H8" s="400">
        <f t="shared" si="4"/>
        <v>10868.362428597218</v>
      </c>
      <c r="I8" s="401">
        <v>1</v>
      </c>
      <c r="J8" s="400">
        <f>K8*G8/1000</f>
        <v>14.21247394508867</v>
      </c>
      <c r="K8" s="393">
        <v>17</v>
      </c>
      <c r="L8" s="183"/>
      <c r="M8" s="140"/>
      <c r="N8" s="141"/>
      <c r="O8" s="141"/>
      <c r="P8" s="142"/>
    </row>
    <row r="9" spans="1:16" ht="17.45" customHeight="1">
      <c r="A9" s="402" t="s">
        <v>192</v>
      </c>
      <c r="B9" s="425" t="s">
        <v>193</v>
      </c>
      <c r="C9" s="511"/>
      <c r="D9" s="400" t="s">
        <v>188</v>
      </c>
      <c r="E9" s="514" t="s">
        <v>180</v>
      </c>
      <c r="F9" s="421">
        <f t="shared" si="3"/>
        <v>1.1485483353252043E-2</v>
      </c>
      <c r="G9" s="400">
        <v>1767.853983096936</v>
      </c>
      <c r="H9" s="400">
        <f t="shared" si="4"/>
        <v>22982.101780260167</v>
      </c>
      <c r="I9" s="401">
        <v>1</v>
      </c>
      <c r="J9" s="400">
        <f t="shared" ref="J9:J19" si="5">K9*G9/1000</f>
        <v>0</v>
      </c>
      <c r="K9" s="393">
        <v>0</v>
      </c>
      <c r="L9" s="183"/>
      <c r="M9" s="140"/>
      <c r="N9" s="141"/>
      <c r="O9" s="141"/>
      <c r="P9" s="142"/>
    </row>
    <row r="10" spans="1:16" ht="16.5" customHeight="1">
      <c r="A10" s="402" t="s">
        <v>194</v>
      </c>
      <c r="B10" s="425" t="s">
        <v>187</v>
      </c>
      <c r="C10" s="511"/>
      <c r="D10" s="400" t="s">
        <v>188</v>
      </c>
      <c r="E10" s="514" t="s">
        <v>180</v>
      </c>
      <c r="F10" s="421">
        <f t="shared" si="3"/>
        <v>6.6266707413185806E-3</v>
      </c>
      <c r="G10" s="400">
        <v>1019.981998528164</v>
      </c>
      <c r="H10" s="400">
        <f t="shared" si="4"/>
        <v>13259.765980866132</v>
      </c>
      <c r="I10" s="401">
        <v>1</v>
      </c>
      <c r="J10" s="400">
        <f t="shared" si="5"/>
        <v>0</v>
      </c>
      <c r="K10" s="394">
        <v>0</v>
      </c>
      <c r="L10" s="422"/>
      <c r="M10" s="140"/>
      <c r="N10" s="141"/>
      <c r="O10" s="141"/>
      <c r="P10" s="142"/>
    </row>
    <row r="11" spans="1:16" ht="16.5" customHeight="1">
      <c r="A11" s="399" t="s">
        <v>195</v>
      </c>
      <c r="B11" s="425" t="s">
        <v>196</v>
      </c>
      <c r="C11" s="510"/>
      <c r="D11" s="400" t="s">
        <v>188</v>
      </c>
      <c r="E11" s="514" t="s">
        <v>180</v>
      </c>
      <c r="F11" s="421">
        <f t="shared" si="3"/>
        <v>5.4574228013138668E-3</v>
      </c>
      <c r="G11" s="400">
        <v>840.01050195375603</v>
      </c>
      <c r="H11" s="400">
        <f t="shared" si="4"/>
        <v>10920.136525398828</v>
      </c>
      <c r="I11" s="401">
        <v>1</v>
      </c>
      <c r="J11" s="400">
        <f t="shared" si="5"/>
        <v>4.2000525097687804</v>
      </c>
      <c r="K11" s="395">
        <v>5</v>
      </c>
      <c r="L11" s="423"/>
      <c r="M11" s="140"/>
      <c r="N11" s="141"/>
      <c r="O11" s="141"/>
      <c r="P11" s="142"/>
    </row>
    <row r="12" spans="1:16" ht="17.45" customHeight="1">
      <c r="A12" s="399" t="s">
        <v>197</v>
      </c>
      <c r="B12" s="425" t="s">
        <v>198</v>
      </c>
      <c r="C12" s="510"/>
      <c r="D12" s="400" t="str">
        <f>D25</f>
        <v>Restaurant</v>
      </c>
      <c r="E12" s="514" t="s">
        <v>180</v>
      </c>
      <c r="F12" s="421">
        <f t="shared" si="3"/>
        <v>1.3207186958689606E-2</v>
      </c>
      <c r="G12" s="400">
        <v>2032.8598590336539</v>
      </c>
      <c r="H12" s="400">
        <f t="shared" si="4"/>
        <v>26427.178167437502</v>
      </c>
      <c r="I12" s="401">
        <v>1</v>
      </c>
      <c r="J12" s="400">
        <f t="shared" si="5"/>
        <v>67.084375348110584</v>
      </c>
      <c r="K12" s="396">
        <v>33</v>
      </c>
      <c r="L12" s="424"/>
      <c r="M12" s="140"/>
      <c r="N12" s="141"/>
      <c r="O12" s="141"/>
      <c r="P12" s="142"/>
    </row>
    <row r="13" spans="1:16" ht="37.15" customHeight="1">
      <c r="A13" s="403" t="s">
        <v>199</v>
      </c>
      <c r="B13" s="403" t="s">
        <v>200</v>
      </c>
      <c r="C13" s="512"/>
      <c r="D13" s="400" t="s">
        <v>201</v>
      </c>
      <c r="E13" s="514" t="s">
        <v>180</v>
      </c>
      <c r="F13" s="421">
        <f t="shared" si="3"/>
        <v>9.1483161640835309E-2</v>
      </c>
      <c r="G13" s="400">
        <v>14081.155030124091</v>
      </c>
      <c r="H13" s="400">
        <f t="shared" si="4"/>
        <v>183055.01539161318</v>
      </c>
      <c r="I13" s="400">
        <v>1</v>
      </c>
      <c r="J13" s="400">
        <f t="shared" si="5"/>
        <v>140.81155030124091</v>
      </c>
      <c r="K13" s="839">
        <v>10</v>
      </c>
      <c r="L13" s="840" t="s">
        <v>202</v>
      </c>
      <c r="M13" s="140"/>
      <c r="N13" s="141"/>
      <c r="O13" s="141"/>
      <c r="P13" s="142"/>
    </row>
    <row r="14" spans="1:16" ht="17.649999999999999" customHeight="1">
      <c r="A14" s="404" t="s">
        <v>203</v>
      </c>
      <c r="B14" s="426" t="s">
        <v>204</v>
      </c>
      <c r="C14" s="513"/>
      <c r="D14" s="405" t="s">
        <v>205</v>
      </c>
      <c r="E14" s="515" t="s">
        <v>180</v>
      </c>
      <c r="F14" s="420">
        <f>G14/$G$28</f>
        <v>2.7287114006569334E-3</v>
      </c>
      <c r="G14" s="405">
        <v>420.00525097687802</v>
      </c>
      <c r="H14" s="405">
        <f>G14*10</f>
        <v>4200.0525097687805</v>
      </c>
      <c r="I14" s="406">
        <v>6</v>
      </c>
      <c r="J14" s="405">
        <f t="shared" si="5"/>
        <v>1.2600157529306342</v>
      </c>
      <c r="K14" s="407">
        <v>3</v>
      </c>
      <c r="L14" s="784"/>
      <c r="M14" s="140"/>
      <c r="N14" s="141"/>
      <c r="O14" s="141"/>
      <c r="P14" s="142"/>
    </row>
    <row r="15" spans="1:16" ht="17.649999999999999" customHeight="1">
      <c r="A15" s="404" t="s">
        <v>206</v>
      </c>
      <c r="B15" s="426" t="s">
        <v>204</v>
      </c>
      <c r="C15" s="513"/>
      <c r="D15" s="405" t="str">
        <f>D14</f>
        <v>ResidentialLiving</v>
      </c>
      <c r="E15" s="515" t="s">
        <v>180</v>
      </c>
      <c r="F15" s="420">
        <f t="shared" si="3"/>
        <v>2.7287114006569334E-3</v>
      </c>
      <c r="G15" s="405">
        <v>420.00525097687802</v>
      </c>
      <c r="H15" s="405">
        <f t="shared" ref="H15:H27" si="6">G15*10</f>
        <v>4200.0525097687805</v>
      </c>
      <c r="I15" s="406">
        <v>6</v>
      </c>
      <c r="J15" s="405">
        <f t="shared" si="5"/>
        <v>1.2600157529306342</v>
      </c>
      <c r="K15" s="408">
        <v>3</v>
      </c>
      <c r="L15" s="784"/>
      <c r="M15" s="865" t="s">
        <v>207</v>
      </c>
      <c r="N15" s="866"/>
      <c r="O15" s="866"/>
      <c r="P15" s="867"/>
    </row>
    <row r="16" spans="1:16" ht="17.649999999999999" customHeight="1">
      <c r="A16" s="404" t="s">
        <v>208</v>
      </c>
      <c r="B16" s="426" t="s">
        <v>204</v>
      </c>
      <c r="C16" s="513"/>
      <c r="D16" s="405" t="str">
        <f t="shared" ref="D16" si="7">D14</f>
        <v>ResidentialLiving</v>
      </c>
      <c r="E16" s="515" t="s">
        <v>180</v>
      </c>
      <c r="F16" s="420">
        <f t="shared" si="3"/>
        <v>1.7147104957485392E-3</v>
      </c>
      <c r="G16" s="405">
        <v>263.92949138782797</v>
      </c>
      <c r="H16" s="405">
        <f t="shared" si="6"/>
        <v>2639.2949138782797</v>
      </c>
      <c r="I16" s="406">
        <v>114</v>
      </c>
      <c r="J16" s="405">
        <f t="shared" si="5"/>
        <v>0.79178847416348386</v>
      </c>
      <c r="K16" s="408">
        <v>3</v>
      </c>
      <c r="L16" s="784"/>
      <c r="M16" s="865"/>
      <c r="N16" s="866"/>
      <c r="O16" s="866"/>
      <c r="P16" s="867"/>
    </row>
    <row r="17" spans="1:17" ht="17.649999999999999" customHeight="1">
      <c r="A17" s="404" t="s">
        <v>209</v>
      </c>
      <c r="B17" s="426" t="s">
        <v>204</v>
      </c>
      <c r="C17" s="513"/>
      <c r="D17" s="405" t="str">
        <f>D14</f>
        <v>ResidentialLiving</v>
      </c>
      <c r="E17" s="515" t="s">
        <v>180</v>
      </c>
      <c r="F17" s="420">
        <f t="shared" si="3"/>
        <v>1.7154098067174415E-3</v>
      </c>
      <c r="G17" s="405">
        <v>264.03712984271698</v>
      </c>
      <c r="H17" s="405">
        <f t="shared" si="6"/>
        <v>2640.3712984271697</v>
      </c>
      <c r="I17" s="406">
        <v>114</v>
      </c>
      <c r="J17" s="405">
        <f t="shared" si="5"/>
        <v>0.79211138952815097</v>
      </c>
      <c r="K17" s="408">
        <v>3</v>
      </c>
      <c r="L17" s="784"/>
      <c r="M17" s="865"/>
      <c r="N17" s="866"/>
      <c r="O17" s="866"/>
      <c r="P17" s="867"/>
    </row>
    <row r="18" spans="1:17" ht="17.649999999999999" customHeight="1">
      <c r="A18" s="404" t="s">
        <v>210</v>
      </c>
      <c r="B18" s="426" t="s">
        <v>204</v>
      </c>
      <c r="C18" s="513"/>
      <c r="D18" s="405" t="str">
        <f>D14</f>
        <v>ResidentialLiving</v>
      </c>
      <c r="E18" s="515" t="s">
        <v>180</v>
      </c>
      <c r="F18" s="420">
        <f t="shared" si="3"/>
        <v>2.7287114006569334E-3</v>
      </c>
      <c r="G18" s="405">
        <v>420.00525097687802</v>
      </c>
      <c r="H18" s="405">
        <f t="shared" si="6"/>
        <v>4200.0525097687805</v>
      </c>
      <c r="I18" s="406">
        <v>6</v>
      </c>
      <c r="J18" s="405">
        <f t="shared" si="5"/>
        <v>1.2600157529306342</v>
      </c>
      <c r="K18" s="408">
        <v>3</v>
      </c>
      <c r="L18" s="784"/>
      <c r="M18" s="865"/>
      <c r="N18" s="866"/>
      <c r="O18" s="866"/>
      <c r="P18" s="867"/>
    </row>
    <row r="19" spans="1:17" ht="17.649999999999999" customHeight="1">
      <c r="A19" s="404" t="s">
        <v>211</v>
      </c>
      <c r="B19" s="426" t="s">
        <v>204</v>
      </c>
      <c r="C19" s="513"/>
      <c r="D19" s="405" t="str">
        <f>D14</f>
        <v>ResidentialLiving</v>
      </c>
      <c r="E19" s="515" t="s">
        <v>180</v>
      </c>
      <c r="F19" s="420">
        <f t="shared" si="3"/>
        <v>2.7287114006569334E-3</v>
      </c>
      <c r="G19" s="405">
        <v>420.00525097687802</v>
      </c>
      <c r="H19" s="405">
        <f t="shared" si="6"/>
        <v>4200.0525097687805</v>
      </c>
      <c r="I19" s="406">
        <v>6</v>
      </c>
      <c r="J19" s="405">
        <f t="shared" si="5"/>
        <v>1.2600157529306342</v>
      </c>
      <c r="K19" s="408">
        <v>3</v>
      </c>
      <c r="L19" s="784"/>
      <c r="M19" s="865"/>
      <c r="N19" s="866"/>
      <c r="O19" s="866"/>
      <c r="P19" s="867"/>
    </row>
    <row r="20" spans="1:17" ht="17.649999999999999" customHeight="1">
      <c r="A20" s="399" t="s">
        <v>212</v>
      </c>
      <c r="B20" s="425" t="s">
        <v>213</v>
      </c>
      <c r="C20" s="510"/>
      <c r="D20" s="400" t="s">
        <v>201</v>
      </c>
      <c r="E20" s="514" t="s">
        <v>180</v>
      </c>
      <c r="F20" s="421">
        <f t="shared" si="3"/>
        <v>2.7231169129057143E-2</v>
      </c>
      <c r="G20" s="400">
        <v>4191.4414333776595</v>
      </c>
      <c r="H20" s="400">
        <f>G20*10</f>
        <v>41914.414333776593</v>
      </c>
      <c r="I20" s="401">
        <v>6</v>
      </c>
      <c r="J20" s="400">
        <f>K20*G20/1000</f>
        <v>20.957207166888296</v>
      </c>
      <c r="K20" s="393">
        <v>5</v>
      </c>
      <c r="L20" s="784"/>
      <c r="M20" s="865"/>
      <c r="N20" s="866"/>
      <c r="O20" s="866"/>
      <c r="P20" s="867"/>
    </row>
    <row r="21" spans="1:17" ht="17.649999999999999" customHeight="1">
      <c r="A21" s="404" t="s">
        <v>214</v>
      </c>
      <c r="B21" s="426" t="s">
        <v>204</v>
      </c>
      <c r="C21" s="513"/>
      <c r="D21" s="405" t="str">
        <f>D14</f>
        <v>ResidentialLiving</v>
      </c>
      <c r="E21" s="515" t="s">
        <v>180</v>
      </c>
      <c r="F21" s="420">
        <f t="shared" si="3"/>
        <v>2.7287114006569334E-3</v>
      </c>
      <c r="G21" s="405">
        <v>420.00525097687802</v>
      </c>
      <c r="H21" s="405">
        <f t="shared" si="6"/>
        <v>4200.0525097687805</v>
      </c>
      <c r="I21" s="406">
        <v>1</v>
      </c>
      <c r="J21" s="405">
        <f t="shared" ref="J21:J27" si="8">K21*G21/1000</f>
        <v>1.2600157529306342</v>
      </c>
      <c r="K21" s="408">
        <v>3</v>
      </c>
      <c r="L21" s="784"/>
      <c r="M21" s="143"/>
      <c r="N21" s="136"/>
      <c r="O21" s="136"/>
      <c r="P21" s="144"/>
    </row>
    <row r="22" spans="1:17" ht="17.649999999999999" customHeight="1">
      <c r="A22" s="404" t="s">
        <v>215</v>
      </c>
      <c r="B22" s="426" t="s">
        <v>204</v>
      </c>
      <c r="C22" s="513"/>
      <c r="D22" s="405" t="str">
        <f>D14</f>
        <v>ResidentialLiving</v>
      </c>
      <c r="E22" s="515" t="s">
        <v>180</v>
      </c>
      <c r="F22" s="420">
        <f t="shared" si="3"/>
        <v>2.7287114006569334E-3</v>
      </c>
      <c r="G22" s="405">
        <v>420.00525097687802</v>
      </c>
      <c r="H22" s="405">
        <f t="shared" si="6"/>
        <v>4200.0525097687805</v>
      </c>
      <c r="I22" s="406">
        <v>1</v>
      </c>
      <c r="J22" s="405">
        <f t="shared" si="8"/>
        <v>1.2600157529306342</v>
      </c>
      <c r="K22" s="408">
        <v>3</v>
      </c>
      <c r="L22" s="784"/>
      <c r="M22" s="143"/>
      <c r="N22" s="136"/>
      <c r="O22" s="136"/>
      <c r="P22" s="144"/>
    </row>
    <row r="23" spans="1:17" ht="17.649999999999999" customHeight="1">
      <c r="A23" s="404" t="s">
        <v>216</v>
      </c>
      <c r="B23" s="426" t="s">
        <v>204</v>
      </c>
      <c r="C23" s="513"/>
      <c r="D23" s="405" t="str">
        <f>D14</f>
        <v>ResidentialLiving</v>
      </c>
      <c r="E23" s="515" t="s">
        <v>180</v>
      </c>
      <c r="F23" s="420">
        <f t="shared" si="3"/>
        <v>1.7154098067174415E-3</v>
      </c>
      <c r="G23" s="405">
        <v>264.03712984271698</v>
      </c>
      <c r="H23" s="405">
        <f t="shared" si="6"/>
        <v>2640.3712984271697</v>
      </c>
      <c r="I23" s="406">
        <v>9</v>
      </c>
      <c r="J23" s="405">
        <f t="shared" si="8"/>
        <v>0.79211138952815097</v>
      </c>
      <c r="K23" s="408">
        <v>3</v>
      </c>
      <c r="L23" s="784"/>
      <c r="M23" s="865"/>
      <c r="N23" s="866"/>
      <c r="O23" s="866"/>
      <c r="P23" s="867"/>
    </row>
    <row r="24" spans="1:17" ht="17.649999999999999" customHeight="1">
      <c r="A24" s="399" t="s">
        <v>217</v>
      </c>
      <c r="B24" s="425" t="s">
        <v>218</v>
      </c>
      <c r="C24" s="510"/>
      <c r="D24" s="400" t="s">
        <v>188</v>
      </c>
      <c r="E24" s="514" t="s">
        <v>180</v>
      </c>
      <c r="F24" s="421">
        <f t="shared" si="3"/>
        <v>2.3193347594615034E-2</v>
      </c>
      <c r="G24" s="400">
        <v>3569.9369948485742</v>
      </c>
      <c r="H24" s="400">
        <f t="shared" si="6"/>
        <v>35699.369948485742</v>
      </c>
      <c r="I24" s="401">
        <v>1</v>
      </c>
      <c r="J24" s="400">
        <f t="shared" si="8"/>
        <v>117.80792083000294</v>
      </c>
      <c r="K24" s="393">
        <v>33</v>
      </c>
      <c r="L24" s="871" t="s">
        <v>219</v>
      </c>
      <c r="M24" s="865"/>
      <c r="N24" s="866"/>
      <c r="O24" s="866"/>
      <c r="P24" s="867"/>
    </row>
    <row r="25" spans="1:17" ht="17.649999999999999" customHeight="1">
      <c r="A25" s="399" t="s">
        <v>220</v>
      </c>
      <c r="B25" s="425" t="s">
        <v>221</v>
      </c>
      <c r="C25" s="510"/>
      <c r="D25" s="400" t="s">
        <v>222</v>
      </c>
      <c r="E25" s="514" t="s">
        <v>180</v>
      </c>
      <c r="F25" s="421">
        <f t="shared" si="3"/>
        <v>2.3193347594615034E-2</v>
      </c>
      <c r="G25" s="400">
        <v>3569.9369948485742</v>
      </c>
      <c r="H25" s="400">
        <f t="shared" si="6"/>
        <v>35699.369948485742</v>
      </c>
      <c r="I25" s="401">
        <v>1</v>
      </c>
      <c r="J25" s="400">
        <f t="shared" si="8"/>
        <v>117.80792083000294</v>
      </c>
      <c r="K25" s="393">
        <v>33</v>
      </c>
      <c r="L25" s="871"/>
      <c r="M25" s="865"/>
      <c r="N25" s="866"/>
      <c r="O25" s="866"/>
      <c r="P25" s="867"/>
    </row>
    <row r="26" spans="1:17" ht="17.649999999999999" customHeight="1">
      <c r="A26" s="399" t="s">
        <v>223</v>
      </c>
      <c r="B26" s="425" t="s">
        <v>224</v>
      </c>
      <c r="C26" s="510"/>
      <c r="D26" s="838" t="s">
        <v>122</v>
      </c>
      <c r="E26" s="514" t="s">
        <v>180</v>
      </c>
      <c r="F26" s="421">
        <f t="shared" si="3"/>
        <v>7.2238823087611781E-3</v>
      </c>
      <c r="G26" s="400">
        <v>1111.9052390033698</v>
      </c>
      <c r="H26" s="400">
        <f t="shared" si="6"/>
        <v>11119.052390033699</v>
      </c>
      <c r="I26" s="401">
        <v>1</v>
      </c>
      <c r="J26" s="400">
        <f t="shared" si="8"/>
        <v>3.3357157170101095</v>
      </c>
      <c r="K26" s="393">
        <v>3</v>
      </c>
      <c r="L26" s="784"/>
      <c r="M26" s="865"/>
      <c r="N26" s="866"/>
      <c r="O26" s="866"/>
      <c r="P26" s="867"/>
    </row>
    <row r="27" spans="1:17" ht="17.649999999999999" customHeight="1">
      <c r="A27" s="402" t="s">
        <v>225</v>
      </c>
      <c r="B27" s="425" t="s">
        <v>213</v>
      </c>
      <c r="C27" s="511"/>
      <c r="D27" s="400" t="str">
        <f>D20</f>
        <v>ResidentialCommon</v>
      </c>
      <c r="E27" s="514" t="s">
        <v>180</v>
      </c>
      <c r="F27" s="400">
        <f t="shared" si="3"/>
        <v>2.8820003650403263E-2</v>
      </c>
      <c r="G27" s="400">
        <v>4435.9960028854675</v>
      </c>
      <c r="H27" s="400">
        <f t="shared" si="6"/>
        <v>44359.960028854679</v>
      </c>
      <c r="I27" s="401">
        <v>1</v>
      </c>
      <c r="J27" s="400">
        <f t="shared" si="8"/>
        <v>22.17998001442734</v>
      </c>
      <c r="K27" s="393">
        <v>5</v>
      </c>
      <c r="L27" s="784"/>
      <c r="M27" s="865"/>
      <c r="N27" s="866"/>
      <c r="O27" s="866"/>
      <c r="P27" s="867"/>
    </row>
    <row r="28" spans="1:17" ht="39.6" customHeight="1" thickBot="1">
      <c r="A28" s="516" t="s">
        <v>226</v>
      </c>
      <c r="B28" s="793" t="s">
        <v>227</v>
      </c>
      <c r="C28" s="516"/>
      <c r="D28" s="409" t="s">
        <v>228</v>
      </c>
      <c r="E28" s="409" t="s">
        <v>229</v>
      </c>
      <c r="F28" s="457">
        <f>SUMPRODUCT(F3:F27,I3:I27)</f>
        <v>1</v>
      </c>
      <c r="G28" s="410">
        <f>SUMPRODUCT(G3:G27,I3:I27)</f>
        <v>153920.7300837173</v>
      </c>
      <c r="H28" s="400">
        <f>SUMPRODUCT(H3:H27,I3:I27)</f>
        <v>1603106.7619435729</v>
      </c>
      <c r="I28" s="456"/>
      <c r="J28" s="400"/>
      <c r="K28" s="393"/>
      <c r="L28" s="784"/>
      <c r="M28" s="868"/>
      <c r="N28" s="869"/>
      <c r="O28" s="869"/>
      <c r="P28" s="870"/>
    </row>
    <row r="29" spans="1:17" ht="13.15">
      <c r="B29" s="781"/>
      <c r="C29" s="179"/>
      <c r="D29" s="179"/>
      <c r="E29" s="179"/>
      <c r="F29" s="180"/>
      <c r="G29" s="181"/>
      <c r="H29" s="182"/>
      <c r="I29" s="54"/>
      <c r="J29" s="54"/>
      <c r="K29" s="54"/>
      <c r="L29" s="183"/>
      <c r="M29" s="183"/>
      <c r="N29" s="783"/>
      <c r="O29" s="783"/>
      <c r="P29" s="783"/>
      <c r="Q29" s="783"/>
    </row>
    <row r="30" spans="1:17" ht="13.15">
      <c r="A30" s="10" t="s">
        <v>230</v>
      </c>
      <c r="G30" s="20"/>
      <c r="H30" s="21"/>
      <c r="I30" s="21"/>
      <c r="J30" s="21"/>
    </row>
    <row r="31" spans="1:17" ht="13.15">
      <c r="G31" s="20"/>
      <c r="H31" s="21"/>
      <c r="I31" s="21"/>
      <c r="J31" s="21"/>
    </row>
    <row r="32" spans="1:17" ht="13.9">
      <c r="A32" s="86"/>
      <c r="F32" s="20"/>
      <c r="G32" s="21"/>
      <c r="H32" s="21"/>
      <c r="I32" s="21"/>
    </row>
    <row r="33" spans="1:10" ht="17.25" customHeight="1">
      <c r="A33" s="864" t="s">
        <v>231</v>
      </c>
      <c r="B33" s="864"/>
      <c r="C33" s="864"/>
      <c r="D33" s="53"/>
      <c r="G33" s="21"/>
      <c r="H33" s="21"/>
    </row>
    <row r="34" spans="1:10" ht="21" customHeight="1">
      <c r="A34" s="785" t="s">
        <v>232</v>
      </c>
      <c r="B34" s="872" t="s">
        <v>233</v>
      </c>
      <c r="C34" s="872"/>
      <c r="D34" s="509"/>
      <c r="G34" s="21"/>
      <c r="H34" s="21"/>
    </row>
    <row r="35" spans="1:10" ht="14.45" customHeight="1">
      <c r="A35" s="863">
        <v>0.65</v>
      </c>
      <c r="B35" s="862" t="s">
        <v>234</v>
      </c>
      <c r="C35" s="862"/>
      <c r="G35" s="21"/>
      <c r="H35" s="21"/>
    </row>
    <row r="36" spans="1:10" ht="14.45" customHeight="1">
      <c r="A36" s="863"/>
      <c r="B36" s="862" t="s">
        <v>235</v>
      </c>
      <c r="C36" s="862"/>
      <c r="G36" s="21"/>
      <c r="H36" s="21"/>
    </row>
    <row r="37" spans="1:10" ht="13.15"/>
    <row r="38" spans="1:10" ht="13.15">
      <c r="E38" s="20"/>
      <c r="F38" s="21"/>
      <c r="G38" s="21"/>
      <c r="H38" s="21"/>
      <c r="I38" s="21"/>
      <c r="J38" s="21"/>
    </row>
    <row r="39" spans="1:10" ht="24.6" customHeight="1">
      <c r="B39" s="164" t="s">
        <v>121</v>
      </c>
      <c r="C39" s="237">
        <f>SUM(I14:I19,I21:I23)</f>
        <v>263</v>
      </c>
      <c r="D39" s="11"/>
      <c r="E39" s="22"/>
      <c r="F39" s="23"/>
      <c r="H39" s="21"/>
      <c r="I39" s="21"/>
      <c r="J39" s="21"/>
    </row>
    <row r="40" spans="1:10" ht="18.600000000000001" customHeight="1">
      <c r="B40" s="164" t="s">
        <v>236</v>
      </c>
      <c r="C40" s="238">
        <f>SUMPRODUCT(G14:G19,I14:I19)+SUMPRODUCT(G21:G23,I21:I23)</f>
        <v>73484.665514265391</v>
      </c>
      <c r="H40" s="21"/>
    </row>
    <row r="41" spans="1:10" ht="17.45" customHeight="1">
      <c r="B41" s="164" t="s">
        <v>237</v>
      </c>
      <c r="C41" s="239">
        <f>C40/(G28-G3)</f>
        <v>0.50171896134836569</v>
      </c>
      <c r="D41" s="117"/>
      <c r="H41" s="21"/>
    </row>
    <row r="42" spans="1:10" ht="13.15" customHeight="1">
      <c r="B42" s="164" t="s">
        <v>238</v>
      </c>
      <c r="C42" s="239">
        <f>C40/G28</f>
        <v>0.47741889915865893</v>
      </c>
      <c r="D42" s="21"/>
      <c r="E42" s="20"/>
      <c r="F42" s="21"/>
      <c r="H42" s="21"/>
    </row>
    <row r="43" spans="1:10" ht="22.9" customHeight="1">
      <c r="E43" s="20"/>
      <c r="F43" s="21"/>
      <c r="G43" s="21"/>
      <c r="H43" s="21"/>
    </row>
    <row r="44" spans="1:10" ht="13.15">
      <c r="G44" s="21"/>
      <c r="H44" s="21"/>
      <c r="I44" s="21"/>
      <c r="J44" s="21"/>
    </row>
    <row r="45" spans="1:10" ht="13.15">
      <c r="I45" s="21"/>
      <c r="J45" s="21"/>
    </row>
    <row r="46" spans="1:10" ht="13.15">
      <c r="G46" s="21"/>
      <c r="H46" s="118"/>
      <c r="I46" s="21"/>
      <c r="J46" s="21"/>
    </row>
    <row r="47" spans="1:10" ht="13.15">
      <c r="F47" s="21"/>
      <c r="G47" s="21"/>
      <c r="H47" s="118"/>
      <c r="I47" s="21"/>
      <c r="J47" s="21"/>
    </row>
    <row r="48" spans="1:10" ht="13.15">
      <c r="F48" s="21"/>
      <c r="G48" s="21"/>
      <c r="H48" s="118"/>
      <c r="I48" s="21"/>
      <c r="J48" s="21"/>
    </row>
    <row r="49" spans="1:10" ht="13.15">
      <c r="A49" s="778"/>
      <c r="B49" s="636"/>
      <c r="E49" s="20"/>
      <c r="F49" s="21"/>
      <c r="G49" s="21"/>
      <c r="H49" s="118"/>
      <c r="I49" s="21"/>
      <c r="J49" s="21"/>
    </row>
    <row r="50" spans="1:10" ht="13.15">
      <c r="A50" s="778"/>
      <c r="B50" s="636"/>
      <c r="E50" s="20"/>
      <c r="F50" s="21"/>
      <c r="G50" s="21"/>
      <c r="H50" s="118"/>
      <c r="I50" s="21"/>
      <c r="J50" s="21"/>
    </row>
    <row r="51" spans="1:10" s="24" customFormat="1" ht="18" hidden="1" customHeight="1">
      <c r="A51" s="127" t="s">
        <v>95</v>
      </c>
      <c r="F51" s="25"/>
      <c r="G51" s="27"/>
    </row>
    <row r="53" spans="1:10" ht="13.15">
      <c r="A53" s="155"/>
      <c r="F53" s="114"/>
    </row>
    <row r="54" spans="1:10" ht="13.15">
      <c r="A54" s="781"/>
      <c r="B54" s="21"/>
    </row>
    <row r="55" spans="1:10" ht="13.9">
      <c r="A55" s="86"/>
      <c r="B55" s="118"/>
    </row>
  </sheetData>
  <autoFilter ref="B1:B57" xr:uid="{2E9DC9C1-ABE9-4C74-8C0A-F769CBEC5074}"/>
  <mergeCells count="9">
    <mergeCell ref="A1:K1"/>
    <mergeCell ref="B34:C34"/>
    <mergeCell ref="B35:C35"/>
    <mergeCell ref="B36:C36"/>
    <mergeCell ref="A35:A36"/>
    <mergeCell ref="A33:C33"/>
    <mergeCell ref="M23:P28"/>
    <mergeCell ref="M15:P20"/>
    <mergeCell ref="L24:L25"/>
  </mergeCells>
  <phoneticPr fontId="8" type="noConversion"/>
  <hyperlinks>
    <hyperlink ref="B35" r:id="rId1" xr:uid="{5FA60184-D9EA-48A4-9F78-7685A9187A33}"/>
    <hyperlink ref="B36" r:id="rId2" xr:uid="{E15EF86C-A4C3-435A-83B4-DE08C2C5926B}"/>
  </hyperlinks>
  <pageMargins left="0.7" right="0.7" top="0.75" bottom="0.75" header="0.3" footer="0.3"/>
  <pageSetup orientation="portrait" r:id="rId3"/>
  <drawing r:id="rId4"/>
  <extLst>
    <ext xmlns:x14="http://schemas.microsoft.com/office/spreadsheetml/2009/9/main" uri="{CCE6A557-97BC-4b89-ADB6-D9C93CAAB3DF}">
      <x14:dataValidations xmlns:xm="http://schemas.microsoft.com/office/excel/2006/main" count="1">
        <x14:dataValidation type="list" allowBlank="1" showInputMessage="1" showErrorMessage="1" xr:uid="{37584425-7451-4A9F-86DE-DEB5D4EB9191}">
          <x14:formula1>
            <xm:f>Data!$A$2:$A$200</xm:f>
          </x14:formula1>
          <xm:sqref>B3:B27</xm:sqref>
        </x14:dataValidation>
      </x14:dataValidations>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093AA-CE58-48DD-B4C9-82527CB4498E}">
  <sheetPr codeName="Sheet2"/>
  <dimension ref="A1:BL172"/>
  <sheetViews>
    <sheetView zoomScale="55" zoomScaleNormal="55" workbookViewId="0">
      <selection sqref="A1:X1"/>
    </sheetView>
  </sheetViews>
  <sheetFormatPr defaultColWidth="9.28515625" defaultRowHeight="13.9"/>
  <cols>
    <col min="1" max="1" width="16.140625" style="55" customWidth="1"/>
    <col min="2" max="2" width="13.5703125" style="59" customWidth="1"/>
    <col min="3" max="3" width="18.7109375" style="55" customWidth="1"/>
    <col min="4" max="4" width="42.5703125" style="55" customWidth="1"/>
    <col min="5" max="5" width="13.28515625" style="55" customWidth="1"/>
    <col min="6" max="6" width="10.7109375" style="55" customWidth="1"/>
    <col min="7" max="7" width="20.5703125" style="60" customWidth="1"/>
    <col min="8" max="8" width="44.5703125" style="55" customWidth="1"/>
    <col min="9" max="9" width="6.85546875" style="55" customWidth="1"/>
    <col min="10" max="12" width="7" style="55" customWidth="1"/>
    <col min="13" max="13" width="7.85546875" style="55" customWidth="1"/>
    <col min="14" max="14" width="8.7109375" style="55" customWidth="1"/>
    <col min="15" max="15" width="7" style="55" customWidth="1"/>
    <col min="16" max="16" width="7.140625" style="55" customWidth="1"/>
    <col min="17" max="17" width="7.5703125" style="55" customWidth="1"/>
    <col min="18" max="21" width="7" style="55" customWidth="1"/>
    <col min="22" max="22" width="7.7109375" style="55" customWidth="1"/>
    <col min="23" max="24" width="7" style="55" customWidth="1"/>
    <col min="25" max="25" width="81.140625" style="55" customWidth="1"/>
    <col min="26" max="26" width="9.7109375" style="55" customWidth="1"/>
    <col min="27" max="27" width="10" style="55" customWidth="1"/>
    <col min="28" max="32" width="7.7109375" style="55" customWidth="1"/>
    <col min="33" max="45" width="6.5703125" style="55" customWidth="1"/>
    <col min="46" max="48" width="5.42578125" style="55" customWidth="1"/>
    <col min="49" max="49" width="9.85546875" style="55" customWidth="1"/>
    <col min="50" max="50" width="10.42578125" style="55" customWidth="1"/>
    <col min="51" max="51" width="21.7109375" style="55" customWidth="1"/>
    <col min="52" max="52" width="10.42578125" style="55" customWidth="1"/>
    <col min="53" max="55" width="7.42578125" style="55" customWidth="1"/>
    <col min="56" max="56" width="7.7109375" style="55" customWidth="1"/>
    <col min="57" max="57" width="7.42578125" style="55" customWidth="1"/>
    <col min="58" max="58" width="13.7109375" style="55" customWidth="1"/>
    <col min="59" max="62" width="7.42578125" style="55" customWidth="1"/>
    <col min="63" max="64" width="9.7109375" style="55" bestFit="1" customWidth="1"/>
    <col min="65" max="16384" width="9.28515625" style="55"/>
  </cols>
  <sheetData>
    <row r="1" spans="1:48" ht="31.9" customHeight="1">
      <c r="A1" s="901" t="str">
        <f>"Envelope - "&amp;Prototype!A2</f>
        <v>Envelope - HotelLarge</v>
      </c>
      <c r="B1" s="901"/>
      <c r="C1" s="901"/>
      <c r="D1" s="901"/>
      <c r="E1" s="901"/>
      <c r="F1" s="901"/>
      <c r="G1" s="901"/>
      <c r="H1" s="901"/>
      <c r="I1" s="901"/>
      <c r="J1" s="901"/>
      <c r="K1" s="901"/>
      <c r="L1" s="901"/>
      <c r="M1" s="901"/>
      <c r="N1" s="901"/>
      <c r="O1" s="901"/>
      <c r="P1" s="901"/>
      <c r="Q1" s="901"/>
      <c r="R1" s="901"/>
      <c r="S1" s="901"/>
      <c r="T1" s="901"/>
      <c r="U1" s="901"/>
      <c r="V1" s="901"/>
      <c r="W1" s="901"/>
      <c r="X1" s="901"/>
      <c r="Y1" s="8"/>
      <c r="Z1" s="8"/>
      <c r="AA1" s="8"/>
      <c r="AB1" s="8"/>
      <c r="AC1" s="8"/>
      <c r="AD1" s="8"/>
      <c r="AE1" s="8"/>
      <c r="AF1" s="8"/>
      <c r="AG1" s="8"/>
      <c r="AH1" s="8"/>
      <c r="AI1" s="8"/>
      <c r="AJ1" s="8"/>
      <c r="AK1" s="8"/>
      <c r="AL1" s="8"/>
      <c r="AM1" s="8"/>
      <c r="AN1" s="8"/>
      <c r="AO1" s="8"/>
      <c r="AP1" s="8"/>
      <c r="AQ1" s="8"/>
      <c r="AR1" s="8"/>
      <c r="AS1" s="8"/>
      <c r="AT1" s="8"/>
      <c r="AU1" s="8"/>
      <c r="AV1" s="8"/>
    </row>
    <row r="2" spans="1:48" ht="30.6" customHeight="1">
      <c r="A2" s="32" t="s">
        <v>239</v>
      </c>
      <c r="B2" s="32" t="s">
        <v>6</v>
      </c>
      <c r="C2" s="32" t="s">
        <v>240</v>
      </c>
      <c r="D2" s="32" t="s">
        <v>241</v>
      </c>
      <c r="E2" s="64" t="s">
        <v>242</v>
      </c>
      <c r="F2" s="32" t="s">
        <v>243</v>
      </c>
      <c r="G2" s="64" t="s">
        <v>244</v>
      </c>
      <c r="H2" s="32" t="s">
        <v>177</v>
      </c>
      <c r="I2" s="32" t="s">
        <v>245</v>
      </c>
      <c r="J2" s="32" t="s">
        <v>246</v>
      </c>
      <c r="K2" s="32" t="s">
        <v>247</v>
      </c>
      <c r="L2" s="32" t="s">
        <v>248</v>
      </c>
      <c r="M2" s="32" t="s">
        <v>249</v>
      </c>
      <c r="N2" s="32" t="s">
        <v>250</v>
      </c>
      <c r="O2" s="32" t="s">
        <v>251</v>
      </c>
      <c r="P2" s="32" t="s">
        <v>252</v>
      </c>
      <c r="Q2" s="32" t="s">
        <v>253</v>
      </c>
      <c r="R2" s="32" t="s">
        <v>254</v>
      </c>
      <c r="S2" s="32" t="s">
        <v>255</v>
      </c>
      <c r="T2" s="32" t="s">
        <v>256</v>
      </c>
      <c r="U2" s="32" t="s">
        <v>257</v>
      </c>
      <c r="V2" s="32" t="s">
        <v>258</v>
      </c>
      <c r="W2" s="32" t="s">
        <v>259</v>
      </c>
      <c r="X2" s="32" t="s">
        <v>260</v>
      </c>
      <c r="Y2" s="8"/>
      <c r="Z2" s="8"/>
      <c r="AA2" s="8"/>
      <c r="AB2" s="8"/>
      <c r="AC2" s="8"/>
      <c r="AD2" s="8"/>
      <c r="AE2" s="8"/>
      <c r="AF2" s="8"/>
      <c r="AG2" s="8"/>
      <c r="AH2" s="8"/>
      <c r="AI2" s="8"/>
      <c r="AJ2" s="8"/>
      <c r="AK2" s="8"/>
      <c r="AL2" s="8"/>
      <c r="AM2" s="8"/>
      <c r="AN2" s="8"/>
      <c r="AO2" s="8"/>
      <c r="AP2" s="8"/>
      <c r="AQ2" s="8"/>
      <c r="AR2" s="8"/>
      <c r="AS2" s="8"/>
      <c r="AT2" s="8"/>
      <c r="AU2" s="8"/>
      <c r="AV2" s="8"/>
    </row>
    <row r="3" spans="1:48" ht="18.600000000000001" customHeight="1">
      <c r="A3" s="874" t="s">
        <v>261</v>
      </c>
      <c r="B3" s="902" t="s">
        <v>55</v>
      </c>
      <c r="C3" s="874" t="s">
        <v>262</v>
      </c>
      <c r="D3" s="874" t="s">
        <v>263</v>
      </c>
      <c r="E3" s="902" t="s">
        <v>264</v>
      </c>
      <c r="F3" s="786" t="s">
        <v>265</v>
      </c>
      <c r="G3" s="786" t="s">
        <v>266</v>
      </c>
      <c r="H3" s="388" t="s">
        <v>267</v>
      </c>
      <c r="I3" s="153">
        <v>0.35199999999999998</v>
      </c>
      <c r="J3" s="153">
        <v>0.35199999999999998</v>
      </c>
      <c r="K3" s="153">
        <v>0.35199999999999998</v>
      </c>
      <c r="L3" s="153">
        <v>0.35199999999999998</v>
      </c>
      <c r="M3" s="153">
        <v>0.35199999999999998</v>
      </c>
      <c r="N3" s="153">
        <v>0.35199999999999998</v>
      </c>
      <c r="O3" s="153">
        <v>0.35199999999999998</v>
      </c>
      <c r="P3" s="153">
        <v>0.35199999999999998</v>
      </c>
      <c r="Q3" s="153">
        <v>0.35199999999999998</v>
      </c>
      <c r="R3" s="153">
        <v>0.35199999999999998</v>
      </c>
      <c r="S3" s="153">
        <v>0.35199999999999998</v>
      </c>
      <c r="T3" s="153">
        <v>0.35199999999999998</v>
      </c>
      <c r="U3" s="153">
        <v>0.35199999999999998</v>
      </c>
      <c r="V3" s="153">
        <v>0.35199999999999998</v>
      </c>
      <c r="W3" s="153">
        <v>0.35199999999999998</v>
      </c>
      <c r="X3" s="153">
        <v>0.35199999999999998</v>
      </c>
      <c r="Y3" s="8"/>
      <c r="Z3" s="8"/>
      <c r="AA3" s="8"/>
      <c r="AB3" s="8"/>
      <c r="AC3" s="8"/>
      <c r="AD3" s="8"/>
      <c r="AE3" s="8"/>
      <c r="AF3" s="8"/>
      <c r="AG3" s="8"/>
      <c r="AH3" s="8"/>
      <c r="AI3" s="8"/>
      <c r="AJ3" s="8"/>
      <c r="AK3" s="8"/>
      <c r="AL3" s="8"/>
      <c r="AM3" s="8"/>
      <c r="AN3" s="8"/>
      <c r="AO3" s="8"/>
      <c r="AP3" s="8"/>
      <c r="AQ3" s="8"/>
      <c r="AR3" s="8"/>
      <c r="AS3" s="8"/>
      <c r="AT3" s="8"/>
      <c r="AU3" s="8"/>
      <c r="AV3" s="8"/>
    </row>
    <row r="4" spans="1:48" ht="81" customHeight="1">
      <c r="A4" s="874"/>
      <c r="B4" s="902"/>
      <c r="C4" s="874"/>
      <c r="D4" s="874"/>
      <c r="E4" s="902"/>
      <c r="F4" s="273" t="s">
        <v>268</v>
      </c>
      <c r="G4" s="243">
        <v>1986</v>
      </c>
      <c r="H4" s="244" t="s">
        <v>269</v>
      </c>
      <c r="I4" s="242">
        <f>1/4.7</f>
        <v>0.21276595744680851</v>
      </c>
      <c r="J4" s="242">
        <f>1/4.4</f>
        <v>0.22727272727272727</v>
      </c>
      <c r="K4" s="242">
        <f>1/4.4</f>
        <v>0.22727272727272727</v>
      </c>
      <c r="L4" s="242">
        <f>1/4.6</f>
        <v>0.21739130434782611</v>
      </c>
      <c r="M4" s="242">
        <f>1/4.6</f>
        <v>0.21739130434782611</v>
      </c>
      <c r="N4" s="242">
        <f t="shared" ref="N4:R4" si="0">1/3.9</f>
        <v>0.25641025641025644</v>
      </c>
      <c r="O4" s="242">
        <f t="shared" si="0"/>
        <v>0.25641025641025644</v>
      </c>
      <c r="P4" s="242">
        <f t="shared" si="0"/>
        <v>0.25641025641025644</v>
      </c>
      <c r="Q4" s="242">
        <f t="shared" si="0"/>
        <v>0.25641025641025644</v>
      </c>
      <c r="R4" s="242">
        <f t="shared" si="0"/>
        <v>0.25641025641025644</v>
      </c>
      <c r="S4" s="242">
        <f>1/4.2</f>
        <v>0.23809523809523808</v>
      </c>
      <c r="T4" s="242">
        <f>1/4.2</f>
        <v>0.23809523809523808</v>
      </c>
      <c r="U4" s="242">
        <f>1/4.2</f>
        <v>0.23809523809523808</v>
      </c>
      <c r="V4" s="242">
        <f>1/4.8</f>
        <v>0.20833333333333334</v>
      </c>
      <c r="W4" s="242">
        <f>1/4.8</f>
        <v>0.20833333333333334</v>
      </c>
      <c r="X4" s="242">
        <f>1/4.7</f>
        <v>0.21276595744680851</v>
      </c>
      <c r="Y4" s="887" t="s">
        <v>270</v>
      </c>
      <c r="Z4" s="844"/>
      <c r="AA4" s="844"/>
      <c r="AB4" s="844"/>
      <c r="AC4" s="844"/>
      <c r="AD4" s="844"/>
      <c r="AE4" s="844"/>
      <c r="AF4" s="844"/>
      <c r="AG4" s="175"/>
      <c r="AH4" s="175"/>
      <c r="AI4" s="175"/>
      <c r="AJ4" s="175"/>
      <c r="AK4" s="175"/>
      <c r="AL4" s="175"/>
      <c r="AM4" s="175"/>
      <c r="AN4" s="175"/>
      <c r="AO4" s="175"/>
      <c r="AP4" s="175"/>
      <c r="AQ4" s="175"/>
      <c r="AR4" s="175"/>
      <c r="AS4" s="175"/>
      <c r="AT4" s="175"/>
      <c r="AU4" s="175"/>
      <c r="AV4" s="175"/>
    </row>
    <row r="5" spans="1:48">
      <c r="A5" s="874"/>
      <c r="B5" s="902"/>
      <c r="C5" s="874"/>
      <c r="D5" s="874"/>
      <c r="E5" s="902"/>
      <c r="F5" s="384" t="s">
        <v>271</v>
      </c>
      <c r="G5" s="384">
        <v>2001</v>
      </c>
      <c r="H5" s="385" t="s">
        <v>272</v>
      </c>
      <c r="I5" s="386">
        <v>0.14000000000000001</v>
      </c>
      <c r="J5" s="386">
        <v>0.17499999999999999</v>
      </c>
      <c r="K5" s="386">
        <v>0.18099999999999999</v>
      </c>
      <c r="L5" s="386">
        <v>0.18099999999999999</v>
      </c>
      <c r="M5" s="386">
        <v>0.18099999999999999</v>
      </c>
      <c r="N5" s="386">
        <v>0.18099999999999999</v>
      </c>
      <c r="O5" s="386">
        <v>0.18099999999999999</v>
      </c>
      <c r="P5" s="386">
        <v>0.18099999999999999</v>
      </c>
      <c r="Q5" s="386">
        <v>0.18099999999999999</v>
      </c>
      <c r="R5" s="386">
        <v>0.17499999999999999</v>
      </c>
      <c r="S5" s="386">
        <v>0.17499999999999999</v>
      </c>
      <c r="T5" s="386">
        <v>0.17499999999999999</v>
      </c>
      <c r="U5" s="386">
        <v>0.17499999999999999</v>
      </c>
      <c r="V5" s="386">
        <v>0.17499999999999999</v>
      </c>
      <c r="W5" s="386">
        <v>0.17499999999999999</v>
      </c>
      <c r="X5" s="386">
        <v>0.14000000000000001</v>
      </c>
      <c r="Y5" s="8"/>
      <c r="Z5" s="8"/>
      <c r="AA5" s="8"/>
      <c r="AB5" s="8"/>
      <c r="AC5" s="8"/>
      <c r="AD5" s="8"/>
      <c r="AE5" s="8"/>
      <c r="AF5" s="8"/>
      <c r="AG5" s="8"/>
      <c r="AH5" s="8"/>
      <c r="AI5" s="8"/>
      <c r="AJ5" s="8"/>
      <c r="AK5" s="8"/>
      <c r="AL5" s="8"/>
      <c r="AM5" s="8"/>
      <c r="AN5" s="8"/>
      <c r="AO5" s="8"/>
      <c r="AP5" s="8"/>
      <c r="AQ5" s="8"/>
      <c r="AR5" s="8"/>
      <c r="AS5" s="8"/>
      <c r="AT5" s="8"/>
      <c r="AU5" s="8"/>
      <c r="AV5" s="8"/>
    </row>
    <row r="6" spans="1:48">
      <c r="A6" s="874"/>
      <c r="B6" s="902"/>
      <c r="C6" s="874"/>
      <c r="D6" s="874"/>
      <c r="E6" s="902"/>
      <c r="F6" s="382" t="s">
        <v>273</v>
      </c>
      <c r="G6" s="382">
        <v>2013</v>
      </c>
      <c r="H6" s="383" t="s">
        <v>274</v>
      </c>
      <c r="I6" s="380">
        <v>0.105</v>
      </c>
      <c r="J6" s="380">
        <v>0.105</v>
      </c>
      <c r="K6" s="380">
        <v>0.105</v>
      </c>
      <c r="L6" s="380">
        <v>0.105</v>
      </c>
      <c r="M6" s="380">
        <v>0.105</v>
      </c>
      <c r="N6" s="380">
        <v>0.105</v>
      </c>
      <c r="O6" s="380">
        <v>0.105</v>
      </c>
      <c r="P6" s="380">
        <v>0.105</v>
      </c>
      <c r="Q6" s="380">
        <v>0.105</v>
      </c>
      <c r="R6" s="380">
        <v>0.105</v>
      </c>
      <c r="S6" s="380">
        <v>0.105</v>
      </c>
      <c r="T6" s="380">
        <v>0.105</v>
      </c>
      <c r="U6" s="380">
        <v>0.105</v>
      </c>
      <c r="V6" s="380">
        <v>0.105</v>
      </c>
      <c r="W6" s="380">
        <v>0.105</v>
      </c>
      <c r="X6" s="380">
        <v>0.105</v>
      </c>
      <c r="Y6" s="8"/>
      <c r="Z6" s="8"/>
      <c r="AA6" s="8"/>
      <c r="AB6" s="8"/>
      <c r="AC6" s="8"/>
      <c r="AD6" s="8"/>
      <c r="AE6" s="8"/>
      <c r="AF6" s="8"/>
      <c r="AG6" s="8"/>
      <c r="AH6" s="8"/>
      <c r="AI6" s="8"/>
      <c r="AJ6" s="8"/>
      <c r="AK6" s="8"/>
      <c r="AL6" s="8"/>
      <c r="AM6" s="8"/>
      <c r="AN6" s="8"/>
      <c r="AO6" s="8"/>
      <c r="AP6" s="8"/>
      <c r="AQ6" s="8"/>
      <c r="AR6" s="8"/>
      <c r="AS6" s="8"/>
      <c r="AT6" s="8"/>
      <c r="AU6" s="8"/>
      <c r="AV6" s="8"/>
    </row>
    <row r="7" spans="1:48">
      <c r="A7" s="874"/>
      <c r="B7" s="902"/>
      <c r="C7" s="874"/>
      <c r="D7" s="874"/>
      <c r="E7" s="902"/>
      <c r="F7" s="363" t="s">
        <v>275</v>
      </c>
      <c r="G7" s="363">
        <v>2025</v>
      </c>
      <c r="H7" s="359" t="s">
        <v>274</v>
      </c>
      <c r="I7" s="365">
        <v>6.9000000000000006E-2</v>
      </c>
      <c r="J7" s="365">
        <v>6.9000000000000006E-2</v>
      </c>
      <c r="K7" s="365">
        <v>6.9000000000000006E-2</v>
      </c>
      <c r="L7" s="365">
        <v>6.9000000000000006E-2</v>
      </c>
      <c r="M7" s="365">
        <v>6.9000000000000006E-2</v>
      </c>
      <c r="N7" s="365">
        <v>6.9000000000000006E-2</v>
      </c>
      <c r="O7" s="365">
        <v>0.105</v>
      </c>
      <c r="P7" s="365">
        <v>6.9000000000000006E-2</v>
      </c>
      <c r="Q7" s="365">
        <v>6.9000000000000006E-2</v>
      </c>
      <c r="R7" s="365">
        <v>6.9000000000000006E-2</v>
      </c>
      <c r="S7" s="365">
        <v>6.9000000000000006E-2</v>
      </c>
      <c r="T7" s="365">
        <v>6.9000000000000006E-2</v>
      </c>
      <c r="U7" s="365">
        <v>6.9000000000000006E-2</v>
      </c>
      <c r="V7" s="365">
        <v>6.9000000000000006E-2</v>
      </c>
      <c r="W7" s="365">
        <v>4.8000000000000001E-2</v>
      </c>
      <c r="X7" s="365">
        <v>6.9000000000000006E-2</v>
      </c>
      <c r="Y7" s="8"/>
      <c r="Z7" s="8"/>
      <c r="AA7" s="8"/>
      <c r="AB7" s="8"/>
      <c r="AC7" s="8"/>
      <c r="AD7" s="8"/>
      <c r="AE7" s="8"/>
      <c r="AF7" s="8"/>
      <c r="AG7" s="8"/>
      <c r="AH7" s="8"/>
      <c r="AI7" s="8"/>
      <c r="AJ7" s="8"/>
      <c r="AK7" s="8"/>
      <c r="AL7" s="8"/>
      <c r="AM7" s="8"/>
      <c r="AN7" s="8"/>
      <c r="AO7" s="8"/>
      <c r="AP7" s="8"/>
      <c r="AQ7" s="8"/>
      <c r="AR7" s="8"/>
      <c r="AS7" s="8"/>
      <c r="AT7" s="8"/>
      <c r="AU7" s="8"/>
      <c r="AV7" s="8"/>
    </row>
    <row r="8" spans="1:48">
      <c r="A8" s="873" t="s">
        <v>276</v>
      </c>
      <c r="B8" s="875" t="s">
        <v>55</v>
      </c>
      <c r="C8" s="873" t="s">
        <v>277</v>
      </c>
      <c r="D8" s="873" t="s">
        <v>278</v>
      </c>
      <c r="E8" s="875" t="s">
        <v>264</v>
      </c>
      <c r="F8" s="787" t="s">
        <v>265</v>
      </c>
      <c r="G8" s="787" t="s">
        <v>266</v>
      </c>
      <c r="H8" s="788" t="s">
        <v>267</v>
      </c>
      <c r="I8" s="153">
        <v>0.35199999999999998</v>
      </c>
      <c r="J8" s="153">
        <v>0.35199999999999998</v>
      </c>
      <c r="K8" s="153">
        <v>0.35199999999999998</v>
      </c>
      <c r="L8" s="153">
        <v>0.35199999999999998</v>
      </c>
      <c r="M8" s="153">
        <v>0.35199999999999998</v>
      </c>
      <c r="N8" s="153">
        <v>0.35199999999999998</v>
      </c>
      <c r="O8" s="153">
        <v>0.35199999999999998</v>
      </c>
      <c r="P8" s="153">
        <v>0.35199999999999998</v>
      </c>
      <c r="Q8" s="153">
        <v>0.35199999999999998</v>
      </c>
      <c r="R8" s="153">
        <v>0.35199999999999998</v>
      </c>
      <c r="S8" s="153">
        <v>0.35199999999999998</v>
      </c>
      <c r="T8" s="153">
        <v>0.35199999999999998</v>
      </c>
      <c r="U8" s="153">
        <v>0.35199999999999998</v>
      </c>
      <c r="V8" s="153">
        <v>0.35199999999999998</v>
      </c>
      <c r="W8" s="153">
        <v>0.35199999999999998</v>
      </c>
      <c r="X8" s="153">
        <v>0.35199999999999998</v>
      </c>
      <c r="Y8" s="8"/>
      <c r="Z8" s="8"/>
      <c r="AA8" s="8"/>
      <c r="AB8" s="8"/>
      <c r="AC8" s="8"/>
      <c r="AD8" s="8"/>
      <c r="AE8" s="8"/>
      <c r="AF8" s="8"/>
      <c r="AG8" s="8"/>
      <c r="AH8" s="8"/>
      <c r="AI8" s="8"/>
      <c r="AJ8" s="8"/>
      <c r="AK8" s="8"/>
      <c r="AL8" s="8"/>
      <c r="AM8" s="8"/>
      <c r="AN8" s="8"/>
      <c r="AO8" s="8"/>
      <c r="AP8" s="8"/>
      <c r="AQ8" s="8"/>
      <c r="AR8" s="8"/>
      <c r="AS8" s="8"/>
      <c r="AT8" s="8"/>
      <c r="AU8" s="8"/>
      <c r="AV8" s="8"/>
    </row>
    <row r="9" spans="1:48" ht="39.6">
      <c r="A9" s="873"/>
      <c r="B9" s="875"/>
      <c r="C9" s="873"/>
      <c r="D9" s="873"/>
      <c r="E9" s="875"/>
      <c r="F9" s="274" t="s">
        <v>268</v>
      </c>
      <c r="G9" s="274">
        <v>1986</v>
      </c>
      <c r="H9" s="285" t="s">
        <v>279</v>
      </c>
      <c r="I9" s="246">
        <f t="shared" ref="I9:X9" si="1">I4</f>
        <v>0.21276595744680851</v>
      </c>
      <c r="J9" s="246">
        <f t="shared" si="1"/>
        <v>0.22727272727272727</v>
      </c>
      <c r="K9" s="246">
        <f t="shared" si="1"/>
        <v>0.22727272727272727</v>
      </c>
      <c r="L9" s="246">
        <f t="shared" si="1"/>
        <v>0.21739130434782611</v>
      </c>
      <c r="M9" s="242">
        <f t="shared" si="1"/>
        <v>0.21739130434782611</v>
      </c>
      <c r="N9" s="246">
        <f t="shared" si="1"/>
        <v>0.25641025641025644</v>
      </c>
      <c r="O9" s="246">
        <f t="shared" si="1"/>
        <v>0.25641025641025644</v>
      </c>
      <c r="P9" s="246">
        <f t="shared" si="1"/>
        <v>0.25641025641025644</v>
      </c>
      <c r="Q9" s="246">
        <f t="shared" si="1"/>
        <v>0.25641025641025644</v>
      </c>
      <c r="R9" s="246">
        <f t="shared" si="1"/>
        <v>0.25641025641025644</v>
      </c>
      <c r="S9" s="246">
        <f t="shared" si="1"/>
        <v>0.23809523809523808</v>
      </c>
      <c r="T9" s="246">
        <f t="shared" si="1"/>
        <v>0.23809523809523808</v>
      </c>
      <c r="U9" s="246">
        <f t="shared" si="1"/>
        <v>0.23809523809523808</v>
      </c>
      <c r="V9" s="246">
        <f t="shared" si="1"/>
        <v>0.20833333333333334</v>
      </c>
      <c r="W9" s="246">
        <f t="shared" si="1"/>
        <v>0.20833333333333334</v>
      </c>
      <c r="X9" s="246">
        <f t="shared" si="1"/>
        <v>0.21276595744680851</v>
      </c>
      <c r="Y9" s="13" t="s">
        <v>280</v>
      </c>
      <c r="Z9" s="8"/>
      <c r="AA9" s="8"/>
      <c r="AB9" s="8"/>
      <c r="AC9" s="8"/>
      <c r="AD9" s="8"/>
      <c r="AE9" s="8"/>
      <c r="AF9" s="8"/>
      <c r="AG9" s="8"/>
      <c r="AH9" s="8"/>
      <c r="AI9" s="8"/>
      <c r="AJ9" s="8"/>
      <c r="AK9" s="8"/>
      <c r="AL9" s="8"/>
      <c r="AM9" s="8"/>
      <c r="AN9" s="8"/>
      <c r="AO9" s="8"/>
      <c r="AP9" s="8"/>
      <c r="AQ9" s="8"/>
      <c r="AR9" s="8"/>
      <c r="AS9" s="8"/>
      <c r="AT9" s="8"/>
      <c r="AU9" s="8"/>
      <c r="AV9" s="8"/>
    </row>
    <row r="10" spans="1:48">
      <c r="A10" s="873"/>
      <c r="B10" s="875"/>
      <c r="C10" s="873"/>
      <c r="D10" s="873"/>
      <c r="E10" s="875"/>
      <c r="F10" s="378" t="s">
        <v>271</v>
      </c>
      <c r="G10" s="373">
        <v>2001</v>
      </c>
      <c r="H10" s="373" t="s">
        <v>281</v>
      </c>
      <c r="I10" s="374">
        <v>0.182</v>
      </c>
      <c r="J10" s="374">
        <v>0.182</v>
      </c>
      <c r="K10" s="374">
        <v>0.189</v>
      </c>
      <c r="L10" s="374">
        <v>0.189</v>
      </c>
      <c r="M10" s="374">
        <v>0.189</v>
      </c>
      <c r="N10" s="374">
        <v>0.189</v>
      </c>
      <c r="O10" s="374">
        <v>0.189</v>
      </c>
      <c r="P10" s="374">
        <v>0.189</v>
      </c>
      <c r="Q10" s="374">
        <v>0.189</v>
      </c>
      <c r="R10" s="374">
        <v>0.182</v>
      </c>
      <c r="S10" s="374">
        <v>0.182</v>
      </c>
      <c r="T10" s="374">
        <v>0.182</v>
      </c>
      <c r="U10" s="374">
        <v>0.182</v>
      </c>
      <c r="V10" s="374">
        <v>0.182</v>
      </c>
      <c r="W10" s="374">
        <v>0.182</v>
      </c>
      <c r="X10" s="374">
        <v>0.182</v>
      </c>
      <c r="Y10" s="120"/>
      <c r="Z10" s="8"/>
      <c r="AA10" s="8"/>
      <c r="AB10" s="8"/>
      <c r="AC10" s="8"/>
      <c r="AD10" s="8"/>
      <c r="AE10" s="8"/>
      <c r="AF10" s="8"/>
      <c r="AG10" s="8"/>
      <c r="AH10" s="8"/>
      <c r="AI10" s="8"/>
      <c r="AJ10" s="8"/>
      <c r="AK10" s="8"/>
      <c r="AL10" s="8"/>
      <c r="AM10" s="8"/>
      <c r="AN10" s="8"/>
      <c r="AO10" s="8"/>
      <c r="AP10" s="8"/>
      <c r="AQ10" s="8"/>
      <c r="AR10" s="8"/>
      <c r="AS10" s="8"/>
      <c r="AT10" s="8"/>
      <c r="AU10" s="8"/>
      <c r="AV10" s="8"/>
    </row>
    <row r="11" spans="1:48">
      <c r="A11" s="873"/>
      <c r="B11" s="875"/>
      <c r="C11" s="873"/>
      <c r="D11" s="873"/>
      <c r="E11" s="875"/>
      <c r="F11" s="367" t="s">
        <v>273</v>
      </c>
      <c r="G11" s="368">
        <v>2013</v>
      </c>
      <c r="H11" s="368" t="s">
        <v>282</v>
      </c>
      <c r="I11" s="369">
        <v>9.8000000000000004E-2</v>
      </c>
      <c r="J11" s="369">
        <v>6.2E-2</v>
      </c>
      <c r="K11" s="369">
        <v>8.2000000000000003E-2</v>
      </c>
      <c r="L11" s="369">
        <v>6.2E-2</v>
      </c>
      <c r="M11" s="369">
        <v>6.2E-2</v>
      </c>
      <c r="N11" s="369">
        <v>9.8000000000000004E-2</v>
      </c>
      <c r="O11" s="369">
        <v>9.8000000000000004E-2</v>
      </c>
      <c r="P11" s="369">
        <v>6.2E-2</v>
      </c>
      <c r="Q11" s="369">
        <v>6.2E-2</v>
      </c>
      <c r="R11" s="369">
        <v>6.2E-2</v>
      </c>
      <c r="S11" s="369">
        <v>6.2E-2</v>
      </c>
      <c r="T11" s="369">
        <v>6.2E-2</v>
      </c>
      <c r="U11" s="369">
        <v>6.2E-2</v>
      </c>
      <c r="V11" s="369">
        <v>6.2E-2</v>
      </c>
      <c r="W11" s="369">
        <v>6.2E-2</v>
      </c>
      <c r="X11" s="369">
        <v>6.2E-2</v>
      </c>
      <c r="Y11" s="289"/>
      <c r="Z11" s="289"/>
      <c r="AA11" s="289"/>
      <c r="AB11" s="289"/>
      <c r="AC11" s="289"/>
      <c r="AD11" s="289"/>
      <c r="AE11" s="289"/>
      <c r="AF11" s="289"/>
      <c r="AG11" s="289"/>
      <c r="AH11" s="289"/>
      <c r="AI11" s="289"/>
      <c r="AJ11" s="289"/>
      <c r="AK11" s="289"/>
      <c r="AL11" s="289"/>
      <c r="AM11" s="289"/>
      <c r="AN11" s="289"/>
      <c r="AO11" s="240"/>
      <c r="AP11" s="8"/>
      <c r="AQ11" s="8"/>
      <c r="AR11" s="8"/>
      <c r="AS11" s="8"/>
      <c r="AT11" s="8"/>
      <c r="AU11" s="8"/>
      <c r="AV11" s="8"/>
    </row>
    <row r="12" spans="1:48">
      <c r="A12" s="873"/>
      <c r="B12" s="875"/>
      <c r="C12" s="873"/>
      <c r="D12" s="873"/>
      <c r="E12" s="875"/>
      <c r="F12" s="358" t="s">
        <v>275</v>
      </c>
      <c r="G12" s="359">
        <v>2025</v>
      </c>
      <c r="H12" s="360" t="s">
        <v>283</v>
      </c>
      <c r="I12" s="361">
        <v>0.06</v>
      </c>
      <c r="J12" s="361">
        <v>5.5E-2</v>
      </c>
      <c r="K12" s="361">
        <v>7.0999999999999994E-2</v>
      </c>
      <c r="L12" s="361">
        <v>5.5E-2</v>
      </c>
      <c r="M12" s="361">
        <v>5.5E-2</v>
      </c>
      <c r="N12" s="361">
        <v>0.06</v>
      </c>
      <c r="O12" s="361">
        <v>0.06</v>
      </c>
      <c r="P12" s="361">
        <v>5.5E-2</v>
      </c>
      <c r="Q12" s="361">
        <v>5.5E-2</v>
      </c>
      <c r="R12" s="361">
        <v>5.5E-2</v>
      </c>
      <c r="S12" s="361">
        <v>5.5E-2</v>
      </c>
      <c r="T12" s="361">
        <v>5.5E-2</v>
      </c>
      <c r="U12" s="361">
        <v>5.5E-2</v>
      </c>
      <c r="V12" s="361">
        <v>5.5E-2</v>
      </c>
      <c r="W12" s="361">
        <v>5.5E-2</v>
      </c>
      <c r="X12" s="361">
        <v>5.5E-2</v>
      </c>
      <c r="Y12" s="289"/>
      <c r="Z12" s="289"/>
      <c r="AA12" s="289"/>
      <c r="AB12" s="289"/>
      <c r="AC12" s="289"/>
      <c r="AD12" s="289"/>
      <c r="AE12" s="289"/>
      <c r="AF12" s="289"/>
      <c r="AG12" s="289"/>
      <c r="AH12" s="289"/>
      <c r="AI12" s="289"/>
      <c r="AJ12" s="289"/>
      <c r="AK12" s="289"/>
      <c r="AL12" s="289"/>
      <c r="AM12" s="289"/>
      <c r="AN12" s="289"/>
      <c r="AO12" s="240"/>
      <c r="AP12" s="241"/>
      <c r="AQ12" s="241"/>
      <c r="AR12" s="8"/>
      <c r="AS12" s="8"/>
      <c r="AT12" s="8"/>
      <c r="AU12" s="8"/>
      <c r="AV12" s="8"/>
    </row>
    <row r="13" spans="1:48">
      <c r="A13" s="873" t="s">
        <v>284</v>
      </c>
      <c r="B13" s="875" t="s">
        <v>55</v>
      </c>
      <c r="C13" s="873" t="s">
        <v>285</v>
      </c>
      <c r="D13" s="874" t="s">
        <v>286</v>
      </c>
      <c r="E13" s="875" t="s">
        <v>264</v>
      </c>
      <c r="F13" s="787" t="s">
        <v>265</v>
      </c>
      <c r="G13" s="787" t="s">
        <v>266</v>
      </c>
      <c r="H13" s="876" t="s">
        <v>287</v>
      </c>
      <c r="I13" s="153">
        <f>I14</f>
        <v>3.6999999999999998E-2</v>
      </c>
      <c r="J13" s="153">
        <f t="shared" ref="J13:X13" si="2">J14</f>
        <v>5.0999999999999997E-2</v>
      </c>
      <c r="K13" s="153">
        <f t="shared" si="2"/>
        <v>5.0999999999999997E-2</v>
      </c>
      <c r="L13" s="153">
        <f t="shared" si="2"/>
        <v>5.0999999999999997E-2</v>
      </c>
      <c r="M13" s="153">
        <f t="shared" si="2"/>
        <v>5.0999999999999997E-2</v>
      </c>
      <c r="N13" s="153">
        <f t="shared" si="2"/>
        <v>5.0999999999999997E-2</v>
      </c>
      <c r="O13" s="153">
        <f t="shared" si="2"/>
        <v>5.0999999999999997E-2</v>
      </c>
      <c r="P13" s="153">
        <f t="shared" si="2"/>
        <v>5.0999999999999997E-2</v>
      </c>
      <c r="Q13" s="153">
        <f t="shared" si="2"/>
        <v>5.0999999999999997E-2</v>
      </c>
      <c r="R13" s="153">
        <f t="shared" si="2"/>
        <v>5.0999999999999997E-2</v>
      </c>
      <c r="S13" s="153">
        <f t="shared" si="2"/>
        <v>3.6999999999999998E-2</v>
      </c>
      <c r="T13" s="153">
        <f t="shared" si="2"/>
        <v>3.6999999999999998E-2</v>
      </c>
      <c r="U13" s="153">
        <f t="shared" si="2"/>
        <v>3.6999999999999998E-2</v>
      </c>
      <c r="V13" s="153">
        <f t="shared" si="2"/>
        <v>3.6999999999999998E-2</v>
      </c>
      <c r="W13" s="153">
        <f t="shared" si="2"/>
        <v>3.6999999999999998E-2</v>
      </c>
      <c r="X13" s="153">
        <f t="shared" si="2"/>
        <v>3.6999999999999998E-2</v>
      </c>
      <c r="Y13" s="289"/>
      <c r="Z13" s="289"/>
      <c r="AA13" s="289"/>
      <c r="AB13" s="289"/>
      <c r="AC13" s="289"/>
      <c r="AD13" s="289"/>
      <c r="AE13" s="289"/>
      <c r="AF13" s="289"/>
      <c r="AG13" s="289"/>
      <c r="AH13" s="289"/>
      <c r="AI13" s="289"/>
      <c r="AJ13" s="289"/>
      <c r="AK13" s="289"/>
      <c r="AL13" s="289"/>
      <c r="AM13" s="289"/>
      <c r="AN13" s="289"/>
      <c r="AO13" s="289"/>
      <c r="AP13" s="289"/>
      <c r="AQ13" s="289"/>
      <c r="AR13" s="289"/>
      <c r="AS13" s="289"/>
      <c r="AT13" s="289"/>
      <c r="AU13" s="289"/>
      <c r="AV13" s="8"/>
    </row>
    <row r="14" spans="1:48">
      <c r="A14" s="873"/>
      <c r="B14" s="875"/>
      <c r="C14" s="873"/>
      <c r="D14" s="874"/>
      <c r="E14" s="875"/>
      <c r="F14" s="274" t="s">
        <v>268</v>
      </c>
      <c r="G14" s="274">
        <v>1992</v>
      </c>
      <c r="H14" s="877"/>
      <c r="I14" s="242">
        <v>3.6999999999999998E-2</v>
      </c>
      <c r="J14" s="242">
        <v>5.0999999999999997E-2</v>
      </c>
      <c r="K14" s="242">
        <v>5.0999999999999997E-2</v>
      </c>
      <c r="L14" s="242">
        <v>5.0999999999999997E-2</v>
      </c>
      <c r="M14" s="242">
        <v>5.0999999999999997E-2</v>
      </c>
      <c r="N14" s="242">
        <v>5.0999999999999997E-2</v>
      </c>
      <c r="O14" s="242">
        <v>5.0999999999999997E-2</v>
      </c>
      <c r="P14" s="242">
        <v>5.0999999999999997E-2</v>
      </c>
      <c r="Q14" s="242">
        <v>5.0999999999999997E-2</v>
      </c>
      <c r="R14" s="242">
        <v>5.0999999999999997E-2</v>
      </c>
      <c r="S14" s="242">
        <v>3.6999999999999998E-2</v>
      </c>
      <c r="T14" s="242">
        <v>3.6999999999999998E-2</v>
      </c>
      <c r="U14" s="242">
        <v>3.6999999999999998E-2</v>
      </c>
      <c r="V14" s="242">
        <v>3.6999999999999998E-2</v>
      </c>
      <c r="W14" s="242">
        <v>3.6999999999999998E-2</v>
      </c>
      <c r="X14" s="242">
        <v>3.6999999999999998E-2</v>
      </c>
      <c r="Y14" s="241"/>
      <c r="Z14" s="289"/>
      <c r="AA14" s="289"/>
      <c r="AB14" s="289"/>
      <c r="AC14" s="289"/>
      <c r="AD14" s="289"/>
      <c r="AE14" s="289"/>
      <c r="AF14" s="289"/>
      <c r="AG14" s="289"/>
      <c r="AH14" s="289"/>
      <c r="AI14" s="289"/>
      <c r="AJ14" s="289"/>
      <c r="AK14" s="289"/>
      <c r="AL14" s="289"/>
      <c r="AM14" s="289"/>
      <c r="AN14" s="289"/>
      <c r="AO14" s="289"/>
      <c r="AP14" s="289"/>
      <c r="AQ14" s="289"/>
      <c r="AR14" s="289"/>
      <c r="AS14" s="289"/>
      <c r="AT14" s="289"/>
      <c r="AU14" s="289"/>
      <c r="AV14" s="8"/>
    </row>
    <row r="15" spans="1:48" ht="26.45">
      <c r="A15" s="873"/>
      <c r="B15" s="875"/>
      <c r="C15" s="873"/>
      <c r="D15" s="874"/>
      <c r="E15" s="875"/>
      <c r="F15" s="378" t="s">
        <v>271</v>
      </c>
      <c r="G15" s="378">
        <v>2001</v>
      </c>
      <c r="H15" s="387" t="s">
        <v>288</v>
      </c>
      <c r="I15" s="386">
        <v>3.6999999999999998E-2</v>
      </c>
      <c r="J15" s="386">
        <v>3.6999999999999998E-2</v>
      </c>
      <c r="K15" s="386">
        <v>5.0999999999999997E-2</v>
      </c>
      <c r="L15" s="386">
        <v>5.0999999999999997E-2</v>
      </c>
      <c r="M15" s="386">
        <v>5.0999999999999997E-2</v>
      </c>
      <c r="N15" s="386">
        <v>5.0999999999999997E-2</v>
      </c>
      <c r="O15" s="386">
        <v>5.0999999999999997E-2</v>
      </c>
      <c r="P15" s="386">
        <v>5.0999999999999997E-2</v>
      </c>
      <c r="Q15" s="386">
        <v>5.0999999999999997E-2</v>
      </c>
      <c r="R15" s="386">
        <v>3.6999999999999998E-2</v>
      </c>
      <c r="S15" s="386">
        <v>3.6999999999999998E-2</v>
      </c>
      <c r="T15" s="386">
        <v>3.6999999999999998E-2</v>
      </c>
      <c r="U15" s="386">
        <v>3.6999999999999998E-2</v>
      </c>
      <c r="V15" s="386">
        <v>3.6999999999999998E-2</v>
      </c>
      <c r="W15" s="386">
        <v>3.6999999999999998E-2</v>
      </c>
      <c r="X15" s="386">
        <v>3.6999999999999998E-2</v>
      </c>
      <c r="Y15" s="241"/>
      <c r="Z15" s="289"/>
      <c r="AA15" s="289"/>
      <c r="AB15" s="289"/>
      <c r="AC15" s="289"/>
      <c r="AD15" s="289"/>
      <c r="AE15" s="289"/>
      <c r="AF15" s="289"/>
      <c r="AG15" s="289"/>
      <c r="AH15" s="289"/>
      <c r="AI15" s="289"/>
      <c r="AJ15" s="289"/>
      <c r="AK15" s="289"/>
      <c r="AL15" s="289"/>
      <c r="AM15" s="289"/>
      <c r="AN15" s="289"/>
      <c r="AO15" s="289"/>
      <c r="AP15" s="289"/>
      <c r="AQ15" s="289"/>
      <c r="AR15" s="289"/>
      <c r="AS15" s="289"/>
      <c r="AT15" s="289"/>
      <c r="AU15" s="289"/>
      <c r="AV15" s="8"/>
    </row>
    <row r="16" spans="1:48" ht="26.45">
      <c r="A16" s="873"/>
      <c r="B16" s="875"/>
      <c r="C16" s="873"/>
      <c r="D16" s="874"/>
      <c r="E16" s="875"/>
      <c r="F16" s="367" t="s">
        <v>273</v>
      </c>
      <c r="G16" s="367">
        <v>2013</v>
      </c>
      <c r="H16" s="381" t="s">
        <v>289</v>
      </c>
      <c r="I16" s="380">
        <v>3.4000000000000002E-2</v>
      </c>
      <c r="J16" s="380">
        <v>2.8000000000000001E-2</v>
      </c>
      <c r="K16" s="380">
        <v>3.9E-2</v>
      </c>
      <c r="L16" s="380">
        <v>2.8000000000000001E-2</v>
      </c>
      <c r="M16" s="380">
        <v>3.9E-2</v>
      </c>
      <c r="N16" s="380">
        <v>3.9E-2</v>
      </c>
      <c r="O16" s="380">
        <v>3.9E-2</v>
      </c>
      <c r="P16" s="380">
        <v>2.8000000000000001E-2</v>
      </c>
      <c r="Q16" s="380">
        <v>2.8000000000000001E-2</v>
      </c>
      <c r="R16" s="380">
        <v>2.8000000000000001E-2</v>
      </c>
      <c r="S16" s="380">
        <v>2.8000000000000001E-2</v>
      </c>
      <c r="T16" s="380">
        <v>2.8000000000000001E-2</v>
      </c>
      <c r="U16" s="380">
        <v>2.8000000000000001E-2</v>
      </c>
      <c r="V16" s="380">
        <v>2.8000000000000001E-2</v>
      </c>
      <c r="W16" s="380">
        <v>2.8000000000000001E-2</v>
      </c>
      <c r="X16" s="380">
        <v>2.8000000000000001E-2</v>
      </c>
      <c r="Y16" s="241"/>
      <c r="Z16" s="289"/>
      <c r="AA16" s="289"/>
      <c r="AB16" s="289"/>
      <c r="AC16" s="289"/>
      <c r="AD16" s="289"/>
      <c r="AE16" s="289"/>
      <c r="AF16" s="289"/>
      <c r="AG16" s="289"/>
      <c r="AH16" s="289"/>
      <c r="AI16" s="289"/>
      <c r="AJ16" s="289"/>
      <c r="AK16" s="289"/>
      <c r="AL16" s="289"/>
      <c r="AM16" s="289"/>
      <c r="AN16" s="289"/>
      <c r="AO16" s="289"/>
      <c r="AP16" s="289"/>
      <c r="AQ16" s="289"/>
      <c r="AR16" s="289"/>
      <c r="AS16" s="289"/>
      <c r="AT16" s="289"/>
      <c r="AU16" s="289"/>
      <c r="AV16" s="8"/>
    </row>
    <row r="17" spans="1:52" ht="26.45">
      <c r="A17" s="873"/>
      <c r="B17" s="875"/>
      <c r="C17" s="873"/>
      <c r="D17" s="874"/>
      <c r="E17" s="875"/>
      <c r="F17" s="358" t="s">
        <v>275</v>
      </c>
      <c r="G17" s="363">
        <v>2025</v>
      </c>
      <c r="H17" s="366" t="s">
        <v>289</v>
      </c>
      <c r="I17" s="365">
        <v>2.8000000000000001E-2</v>
      </c>
      <c r="J17" s="365">
        <v>2.8000000000000001E-2</v>
      </c>
      <c r="K17" s="365">
        <v>2.8000000000000001E-2</v>
      </c>
      <c r="L17" s="365">
        <v>2.8000000000000001E-2</v>
      </c>
      <c r="M17" s="365">
        <v>3.4000000000000002E-2</v>
      </c>
      <c r="N17" s="365">
        <v>3.4000000000000002E-2</v>
      </c>
      <c r="O17" s="365">
        <v>3.9E-2</v>
      </c>
      <c r="P17" s="365">
        <v>2.8000000000000001E-2</v>
      </c>
      <c r="Q17" s="365">
        <v>2.8000000000000001E-2</v>
      </c>
      <c r="R17" s="365">
        <v>2.8000000000000001E-2</v>
      </c>
      <c r="S17" s="365">
        <v>2.8000000000000001E-2</v>
      </c>
      <c r="T17" s="365">
        <v>2.8000000000000001E-2</v>
      </c>
      <c r="U17" s="365">
        <v>2.8000000000000001E-2</v>
      </c>
      <c r="V17" s="365">
        <v>2.8000000000000001E-2</v>
      </c>
      <c r="W17" s="365">
        <v>2.8000000000000001E-2</v>
      </c>
      <c r="X17" s="365">
        <v>2.8000000000000001E-2</v>
      </c>
      <c r="Y17" s="240"/>
      <c r="Z17" s="241"/>
      <c r="AA17" s="241"/>
      <c r="AB17" s="241"/>
      <c r="AC17" s="241"/>
      <c r="AD17" s="241"/>
      <c r="AE17" s="241"/>
      <c r="AF17" s="241"/>
      <c r="AG17" s="241"/>
      <c r="AH17" s="241"/>
      <c r="AI17" s="241"/>
      <c r="AJ17" s="241"/>
      <c r="AK17" s="241"/>
      <c r="AL17" s="241"/>
      <c r="AM17" s="241"/>
      <c r="AN17" s="241"/>
      <c r="AO17" s="241"/>
      <c r="AP17" s="241"/>
      <c r="AQ17" s="241"/>
      <c r="AR17" s="241"/>
      <c r="AS17" s="241"/>
      <c r="AT17" s="8"/>
      <c r="AU17" s="8"/>
      <c r="AV17" s="8"/>
      <c r="AW17" s="8"/>
      <c r="AX17" s="8"/>
      <c r="AY17" s="8"/>
      <c r="AZ17" s="8"/>
    </row>
    <row r="18" spans="1:52">
      <c r="A18" s="873" t="s">
        <v>290</v>
      </c>
      <c r="B18" s="875" t="s">
        <v>55</v>
      </c>
      <c r="C18" s="873" t="s">
        <v>291</v>
      </c>
      <c r="D18" s="874" t="s">
        <v>286</v>
      </c>
      <c r="E18" s="875" t="s">
        <v>264</v>
      </c>
      <c r="F18" s="787" t="s">
        <v>265</v>
      </c>
      <c r="G18" s="787" t="s">
        <v>266</v>
      </c>
      <c r="H18" s="876" t="s">
        <v>287</v>
      </c>
      <c r="I18" s="153">
        <f>I19</f>
        <v>5.7000000000000002E-2</v>
      </c>
      <c r="J18" s="153">
        <f t="shared" ref="J18:X18" si="3">J19</f>
        <v>5.7000000000000002E-2</v>
      </c>
      <c r="K18" s="153">
        <f t="shared" si="3"/>
        <v>5.7000000000000002E-2</v>
      </c>
      <c r="L18" s="153">
        <f t="shared" si="3"/>
        <v>5.7000000000000002E-2</v>
      </c>
      <c r="M18" s="153">
        <f t="shared" si="3"/>
        <v>5.7000000000000002E-2</v>
      </c>
      <c r="N18" s="153">
        <f t="shared" si="3"/>
        <v>7.8E-2</v>
      </c>
      <c r="O18" s="153">
        <f t="shared" si="3"/>
        <v>7.8E-2</v>
      </c>
      <c r="P18" s="153">
        <f t="shared" si="3"/>
        <v>7.8E-2</v>
      </c>
      <c r="Q18" s="153">
        <f t="shared" si="3"/>
        <v>7.8E-2</v>
      </c>
      <c r="R18" s="153">
        <f t="shared" si="3"/>
        <v>7.8E-2</v>
      </c>
      <c r="S18" s="153">
        <f t="shared" si="3"/>
        <v>5.7000000000000002E-2</v>
      </c>
      <c r="T18" s="153">
        <f t="shared" si="3"/>
        <v>5.7000000000000002E-2</v>
      </c>
      <c r="U18" s="153">
        <f t="shared" si="3"/>
        <v>5.7000000000000002E-2</v>
      </c>
      <c r="V18" s="153">
        <f t="shared" si="3"/>
        <v>5.7000000000000002E-2</v>
      </c>
      <c r="W18" s="153">
        <f t="shared" si="3"/>
        <v>5.7000000000000002E-2</v>
      </c>
      <c r="X18" s="153">
        <f t="shared" si="3"/>
        <v>5.7000000000000002E-2</v>
      </c>
      <c r="Y18" s="240"/>
      <c r="Z18" s="241"/>
      <c r="AA18" s="241"/>
      <c r="AB18" s="241"/>
      <c r="AC18" s="241"/>
      <c r="AD18" s="241"/>
      <c r="AE18" s="241"/>
      <c r="AF18" s="241"/>
      <c r="AG18" s="241"/>
      <c r="AH18" s="241"/>
      <c r="AI18" s="241"/>
      <c r="AJ18" s="241"/>
      <c r="AK18" s="241"/>
      <c r="AL18" s="241"/>
      <c r="AM18" s="241"/>
      <c r="AN18" s="241"/>
      <c r="AO18" s="241"/>
      <c r="AP18" s="241"/>
      <c r="AQ18" s="241"/>
      <c r="AR18" s="241"/>
      <c r="AS18" s="241"/>
      <c r="AT18" s="8"/>
      <c r="AU18" s="8"/>
      <c r="AV18" s="8"/>
      <c r="AW18" s="8"/>
      <c r="AX18" s="8"/>
      <c r="AY18" s="8"/>
      <c r="AZ18" s="8"/>
    </row>
    <row r="19" spans="1:52">
      <c r="A19" s="873"/>
      <c r="B19" s="875"/>
      <c r="C19" s="873"/>
      <c r="D19" s="874"/>
      <c r="E19" s="875"/>
      <c r="F19" s="274" t="s">
        <v>268</v>
      </c>
      <c r="G19" s="274">
        <v>1992</v>
      </c>
      <c r="H19" s="877"/>
      <c r="I19" s="242">
        <v>5.7000000000000002E-2</v>
      </c>
      <c r="J19" s="242">
        <v>5.7000000000000002E-2</v>
      </c>
      <c r="K19" s="242">
        <v>5.7000000000000002E-2</v>
      </c>
      <c r="L19" s="242">
        <v>5.7000000000000002E-2</v>
      </c>
      <c r="M19" s="242">
        <v>5.7000000000000002E-2</v>
      </c>
      <c r="N19" s="242">
        <v>7.8E-2</v>
      </c>
      <c r="O19" s="242">
        <v>7.8E-2</v>
      </c>
      <c r="P19" s="242">
        <v>7.8E-2</v>
      </c>
      <c r="Q19" s="242">
        <v>7.8E-2</v>
      </c>
      <c r="R19" s="242">
        <v>7.8E-2</v>
      </c>
      <c r="S19" s="242">
        <v>5.7000000000000002E-2</v>
      </c>
      <c r="T19" s="242">
        <v>5.7000000000000002E-2</v>
      </c>
      <c r="U19" s="242">
        <v>5.7000000000000002E-2</v>
      </c>
      <c r="V19" s="242">
        <v>5.7000000000000002E-2</v>
      </c>
      <c r="W19" s="242">
        <v>5.7000000000000002E-2</v>
      </c>
      <c r="X19" s="242">
        <v>5.7000000000000002E-2</v>
      </c>
      <c r="Y19" s="240"/>
      <c r="Z19" s="241"/>
      <c r="AA19" s="241"/>
      <c r="AB19" s="241"/>
      <c r="AC19" s="241"/>
      <c r="AD19" s="241"/>
      <c r="AE19" s="241"/>
      <c r="AF19" s="241"/>
      <c r="AG19" s="241"/>
      <c r="AH19" s="241"/>
      <c r="AI19" s="241"/>
      <c r="AJ19" s="241"/>
      <c r="AK19" s="241"/>
      <c r="AL19" s="241"/>
      <c r="AM19" s="241"/>
      <c r="AN19" s="241"/>
      <c r="AO19" s="241"/>
      <c r="AP19" s="241"/>
      <c r="AQ19" s="241"/>
      <c r="AR19" s="241"/>
      <c r="AS19" s="241"/>
      <c r="AT19" s="8"/>
      <c r="AU19" s="8"/>
      <c r="AV19" s="8"/>
      <c r="AW19" s="8"/>
      <c r="AX19" s="8"/>
      <c r="AY19" s="8"/>
      <c r="AZ19" s="8"/>
    </row>
    <row r="20" spans="1:52">
      <c r="A20" s="873"/>
      <c r="B20" s="875"/>
      <c r="C20" s="873"/>
      <c r="D20" s="874"/>
      <c r="E20" s="875"/>
      <c r="F20" s="378" t="s">
        <v>271</v>
      </c>
      <c r="G20" s="378">
        <v>2001</v>
      </c>
      <c r="H20" s="387" t="s">
        <v>281</v>
      </c>
      <c r="I20" s="386">
        <v>5.7000000000000002E-2</v>
      </c>
      <c r="J20" s="386">
        <v>5.7000000000000002E-2</v>
      </c>
      <c r="K20" s="386">
        <v>5.7000000000000002E-2</v>
      </c>
      <c r="L20" s="386">
        <v>5.7000000000000002E-2</v>
      </c>
      <c r="M20" s="386">
        <v>5.7000000000000002E-2</v>
      </c>
      <c r="N20" s="386">
        <v>7.8E-2</v>
      </c>
      <c r="O20" s="386">
        <v>7.8E-2</v>
      </c>
      <c r="P20" s="386">
        <v>7.8E-2</v>
      </c>
      <c r="Q20" s="386">
        <v>7.8E-2</v>
      </c>
      <c r="R20" s="386">
        <v>5.7000000000000002E-2</v>
      </c>
      <c r="S20" s="386">
        <v>5.7000000000000002E-2</v>
      </c>
      <c r="T20" s="386">
        <v>5.7000000000000002E-2</v>
      </c>
      <c r="U20" s="386">
        <v>5.7000000000000002E-2</v>
      </c>
      <c r="V20" s="386">
        <v>5.7000000000000002E-2</v>
      </c>
      <c r="W20" s="386">
        <v>5.7000000000000002E-2</v>
      </c>
      <c r="X20" s="386">
        <v>5.7000000000000002E-2</v>
      </c>
      <c r="Y20" s="240"/>
      <c r="Z20" s="241"/>
      <c r="AA20" s="241"/>
      <c r="AB20" s="241"/>
      <c r="AC20" s="241"/>
      <c r="AD20" s="241"/>
      <c r="AE20" s="241"/>
      <c r="AF20" s="241"/>
      <c r="AG20" s="241"/>
      <c r="AH20" s="241"/>
      <c r="AI20" s="241"/>
      <c r="AJ20" s="241"/>
      <c r="AK20" s="241"/>
      <c r="AL20" s="241"/>
      <c r="AM20" s="241"/>
      <c r="AN20" s="241"/>
      <c r="AO20" s="241"/>
      <c r="AP20" s="241"/>
      <c r="AQ20" s="241"/>
      <c r="AR20" s="241"/>
      <c r="AS20" s="241"/>
      <c r="AT20" s="8"/>
      <c r="AU20" s="8"/>
      <c r="AV20" s="8"/>
      <c r="AW20" s="8"/>
      <c r="AX20" s="8"/>
      <c r="AY20" s="8"/>
      <c r="AZ20" s="8"/>
    </row>
    <row r="21" spans="1:52">
      <c r="A21" s="873"/>
      <c r="B21" s="875"/>
      <c r="C21" s="873"/>
      <c r="D21" s="874"/>
      <c r="E21" s="875"/>
      <c r="F21" s="367" t="s">
        <v>273</v>
      </c>
      <c r="G21" s="367">
        <v>2013</v>
      </c>
      <c r="H21" s="381" t="s">
        <v>292</v>
      </c>
      <c r="I21" s="380">
        <v>4.9000000000000002E-2</v>
      </c>
      <c r="J21" s="380">
        <v>3.9E-2</v>
      </c>
      <c r="K21" s="380">
        <v>3.9E-2</v>
      </c>
      <c r="L21" s="380">
        <v>3.9E-2</v>
      </c>
      <c r="M21" s="380">
        <v>4.9000000000000002E-2</v>
      </c>
      <c r="N21" s="380">
        <v>7.4999999999999997E-2</v>
      </c>
      <c r="O21" s="380">
        <v>6.7000000000000004E-2</v>
      </c>
      <c r="P21" s="380">
        <v>6.7000000000000004E-2</v>
      </c>
      <c r="Q21" s="380">
        <v>3.9E-2</v>
      </c>
      <c r="R21" s="380">
        <v>3.9E-2</v>
      </c>
      <c r="S21" s="380">
        <v>3.9E-2</v>
      </c>
      <c r="T21" s="380">
        <v>3.9E-2</v>
      </c>
      <c r="U21" s="380">
        <v>3.9E-2</v>
      </c>
      <c r="V21" s="380">
        <v>3.9E-2</v>
      </c>
      <c r="W21" s="380">
        <v>3.9E-2</v>
      </c>
      <c r="X21" s="380">
        <v>3.9E-2</v>
      </c>
      <c r="Y21" s="240"/>
      <c r="Z21" s="241"/>
      <c r="AA21" s="241"/>
      <c r="AB21" s="241"/>
      <c r="AC21" s="241"/>
      <c r="AD21" s="241"/>
      <c r="AE21" s="241"/>
      <c r="AF21" s="241"/>
      <c r="AG21" s="241"/>
      <c r="AH21" s="241"/>
      <c r="AI21" s="241"/>
      <c r="AJ21" s="241"/>
      <c r="AK21" s="241"/>
      <c r="AL21" s="241"/>
      <c r="AM21" s="241"/>
      <c r="AN21" s="241"/>
      <c r="AO21" s="241"/>
      <c r="AP21" s="241"/>
      <c r="AQ21" s="241"/>
      <c r="AR21" s="241"/>
      <c r="AS21" s="241"/>
      <c r="AT21" s="8"/>
      <c r="AU21" s="8"/>
      <c r="AV21" s="8"/>
      <c r="AW21" s="8"/>
      <c r="AX21" s="8"/>
      <c r="AY21" s="8"/>
      <c r="AZ21" s="8"/>
    </row>
    <row r="22" spans="1:52">
      <c r="A22" s="873"/>
      <c r="B22" s="875"/>
      <c r="C22" s="873"/>
      <c r="D22" s="874"/>
      <c r="E22" s="875"/>
      <c r="F22" s="358" t="s">
        <v>275</v>
      </c>
      <c r="G22" s="363">
        <v>2025</v>
      </c>
      <c r="H22" s="366" t="s">
        <v>282</v>
      </c>
      <c r="I22" s="365">
        <v>2.8000000000000001E-2</v>
      </c>
      <c r="J22" s="365">
        <v>2.8000000000000001E-2</v>
      </c>
      <c r="K22" s="365">
        <v>2.8000000000000001E-2</v>
      </c>
      <c r="L22" s="365">
        <v>2.8000000000000001E-2</v>
      </c>
      <c r="M22" s="365">
        <v>2.8000000000000001E-2</v>
      </c>
      <c r="N22" s="365">
        <v>4.7E-2</v>
      </c>
      <c r="O22" s="365">
        <v>4.7E-2</v>
      </c>
      <c r="P22" s="365">
        <v>4.7E-2</v>
      </c>
      <c r="Q22" s="365">
        <v>2.8000000000000001E-2</v>
      </c>
      <c r="R22" s="365">
        <v>2.8000000000000001E-2</v>
      </c>
      <c r="S22" s="365">
        <v>2.8000000000000001E-2</v>
      </c>
      <c r="T22" s="365">
        <v>2.8000000000000001E-2</v>
      </c>
      <c r="U22" s="365">
        <v>2.8000000000000001E-2</v>
      </c>
      <c r="V22" s="365">
        <v>2.8000000000000001E-2</v>
      </c>
      <c r="W22" s="365">
        <v>2.8000000000000001E-2</v>
      </c>
      <c r="X22" s="365">
        <v>2.8000000000000001E-2</v>
      </c>
      <c r="Y22" s="240"/>
      <c r="Z22" s="241"/>
      <c r="AA22" s="241"/>
      <c r="AB22" s="241"/>
      <c r="AC22" s="241"/>
      <c r="AD22" s="241"/>
      <c r="AE22" s="241"/>
      <c r="AF22" s="241"/>
      <c r="AG22" s="241"/>
      <c r="AH22" s="241"/>
      <c r="AI22" s="241"/>
      <c r="AJ22" s="241"/>
      <c r="AK22" s="241"/>
      <c r="AL22" s="241"/>
      <c r="AM22" s="241"/>
      <c r="AN22" s="241"/>
      <c r="AO22" s="241"/>
      <c r="AP22" s="241"/>
      <c r="AQ22" s="241"/>
      <c r="AR22" s="241"/>
      <c r="AS22" s="241"/>
      <c r="AT22" s="8"/>
      <c r="AU22" s="8"/>
      <c r="AV22" s="8"/>
      <c r="AW22" s="8"/>
      <c r="AX22" s="8"/>
      <c r="AY22" s="8"/>
      <c r="AZ22" s="8"/>
    </row>
    <row r="23" spans="1:52" ht="14.45" customHeight="1">
      <c r="A23" s="873" t="s">
        <v>293</v>
      </c>
      <c r="B23" s="878" t="s">
        <v>55</v>
      </c>
      <c r="C23" s="900" t="s">
        <v>294</v>
      </c>
      <c r="D23" s="873" t="s">
        <v>295</v>
      </c>
      <c r="E23" s="875" t="s">
        <v>264</v>
      </c>
      <c r="F23" s="787" t="s">
        <v>265</v>
      </c>
      <c r="G23" s="787" t="s">
        <v>266</v>
      </c>
      <c r="H23" s="900" t="s">
        <v>296</v>
      </c>
      <c r="I23" s="66">
        <f>1.12*0.43+I$26*0.57</f>
        <v>0.68679999999999997</v>
      </c>
      <c r="J23" s="66">
        <f t="shared" ref="J23:X24" si="4">1.12*0.43+J$26*0.57</f>
        <v>0.68679999999999997</v>
      </c>
      <c r="K23" s="66">
        <f t="shared" si="4"/>
        <v>0.68679999999999997</v>
      </c>
      <c r="L23" s="66">
        <f t="shared" si="4"/>
        <v>0.68679999999999997</v>
      </c>
      <c r="M23" s="66">
        <f t="shared" si="4"/>
        <v>0.68679999999999997</v>
      </c>
      <c r="N23" s="66">
        <f t="shared" si="4"/>
        <v>0.68679999999999997</v>
      </c>
      <c r="O23" s="66">
        <f t="shared" si="4"/>
        <v>0.68679999999999997</v>
      </c>
      <c r="P23" s="66">
        <f t="shared" si="4"/>
        <v>0.68679999999999997</v>
      </c>
      <c r="Q23" s="66">
        <f t="shared" si="4"/>
        <v>0.68679999999999997</v>
      </c>
      <c r="R23" s="66">
        <f t="shared" si="4"/>
        <v>0.68679999999999997</v>
      </c>
      <c r="S23" s="66">
        <f t="shared" si="4"/>
        <v>0.68679999999999997</v>
      </c>
      <c r="T23" s="66">
        <f t="shared" si="4"/>
        <v>0.68679999999999997</v>
      </c>
      <c r="U23" s="66">
        <f t="shared" si="4"/>
        <v>0.68679999999999997</v>
      </c>
      <c r="V23" s="66">
        <f t="shared" si="4"/>
        <v>0.68679999999999997</v>
      </c>
      <c r="W23" s="66">
        <f t="shared" si="4"/>
        <v>0.68679999999999997</v>
      </c>
      <c r="X23" s="66">
        <f t="shared" si="4"/>
        <v>0.68679999999999997</v>
      </c>
      <c r="Y23" s="120"/>
      <c r="Z23" s="8"/>
      <c r="AA23" s="8"/>
      <c r="AB23" s="8"/>
      <c r="AC23" s="8"/>
      <c r="AD23" s="8"/>
      <c r="AE23" s="8"/>
      <c r="AF23" s="8"/>
      <c r="AG23" s="8"/>
      <c r="AH23" s="8"/>
      <c r="AI23" s="8"/>
      <c r="AJ23" s="8"/>
      <c r="AK23" s="8"/>
      <c r="AL23" s="8"/>
      <c r="AM23" s="8"/>
      <c r="AN23" s="8"/>
      <c r="AO23" s="8"/>
      <c r="AP23" s="8"/>
      <c r="AQ23" s="8"/>
      <c r="AR23" s="8"/>
      <c r="AS23" s="8"/>
      <c r="AT23" s="8"/>
      <c r="AU23" s="8"/>
      <c r="AV23" s="8"/>
      <c r="AW23" s="8"/>
      <c r="AX23" s="8"/>
      <c r="AY23" s="8"/>
      <c r="AZ23" s="8"/>
    </row>
    <row r="24" spans="1:52">
      <c r="A24" s="873"/>
      <c r="B24" s="879"/>
      <c r="C24" s="876"/>
      <c r="D24" s="873"/>
      <c r="E24" s="875"/>
      <c r="F24" s="274" t="s">
        <v>268</v>
      </c>
      <c r="G24" s="274" t="s">
        <v>266</v>
      </c>
      <c r="H24" s="877"/>
      <c r="I24" s="246">
        <f>1.12*0.43+I$26*0.57</f>
        <v>0.68679999999999997</v>
      </c>
      <c r="J24" s="246">
        <f t="shared" si="4"/>
        <v>0.68679999999999997</v>
      </c>
      <c r="K24" s="246">
        <f t="shared" si="4"/>
        <v>0.68679999999999997</v>
      </c>
      <c r="L24" s="246">
        <f t="shared" si="4"/>
        <v>0.68679999999999997</v>
      </c>
      <c r="M24" s="246">
        <f t="shared" si="4"/>
        <v>0.68679999999999997</v>
      </c>
      <c r="N24" s="246">
        <f t="shared" si="4"/>
        <v>0.68679999999999997</v>
      </c>
      <c r="O24" s="246">
        <f t="shared" si="4"/>
        <v>0.68679999999999997</v>
      </c>
      <c r="P24" s="246">
        <f t="shared" si="4"/>
        <v>0.68679999999999997</v>
      </c>
      <c r="Q24" s="246">
        <f t="shared" si="4"/>
        <v>0.68679999999999997</v>
      </c>
      <c r="R24" s="246">
        <f t="shared" si="4"/>
        <v>0.68679999999999997</v>
      </c>
      <c r="S24" s="246">
        <f t="shared" si="4"/>
        <v>0.68679999999999997</v>
      </c>
      <c r="T24" s="246">
        <f t="shared" si="4"/>
        <v>0.68679999999999997</v>
      </c>
      <c r="U24" s="246">
        <f t="shared" si="4"/>
        <v>0.68679999999999997</v>
      </c>
      <c r="V24" s="246">
        <f t="shared" si="4"/>
        <v>0.68679999999999997</v>
      </c>
      <c r="W24" s="246">
        <f t="shared" si="4"/>
        <v>0.68679999999999997</v>
      </c>
      <c r="X24" s="246">
        <f t="shared" si="4"/>
        <v>0.68679999999999997</v>
      </c>
      <c r="Y24" s="120"/>
      <c r="Z24" s="8"/>
      <c r="AA24" s="8"/>
      <c r="AB24" s="8"/>
      <c r="AC24" s="8"/>
      <c r="AD24" s="8"/>
      <c r="AE24" s="8"/>
      <c r="AF24" s="8"/>
      <c r="AG24" s="8"/>
      <c r="AH24" s="8"/>
      <c r="AI24" s="8"/>
      <c r="AJ24" s="8"/>
      <c r="AK24" s="8"/>
      <c r="AL24" s="8"/>
      <c r="AM24" s="8"/>
      <c r="AN24" s="8"/>
      <c r="AO24" s="8"/>
      <c r="AP24" s="8"/>
      <c r="AQ24" s="8"/>
      <c r="AR24" s="8"/>
      <c r="AS24" s="8"/>
      <c r="AT24" s="8"/>
      <c r="AU24" s="8"/>
      <c r="AV24" s="8"/>
      <c r="AW24" s="8"/>
      <c r="AX24" s="8"/>
      <c r="AY24" s="8"/>
      <c r="AZ24" s="8"/>
    </row>
    <row r="25" spans="1:52">
      <c r="A25" s="873"/>
      <c r="B25" s="879"/>
      <c r="C25" s="876"/>
      <c r="D25" s="878" t="s">
        <v>297</v>
      </c>
      <c r="E25" s="875"/>
      <c r="F25" s="378" t="s">
        <v>271</v>
      </c>
      <c r="G25" s="378">
        <v>2001</v>
      </c>
      <c r="H25" s="377" t="s">
        <v>298</v>
      </c>
      <c r="I25" s="374">
        <v>0.49</v>
      </c>
      <c r="J25" s="374">
        <v>0.49</v>
      </c>
      <c r="K25" s="374">
        <v>0.49</v>
      </c>
      <c r="L25" s="374">
        <v>0.49</v>
      </c>
      <c r="M25" s="374">
        <v>0.49</v>
      </c>
      <c r="N25" s="374">
        <v>0.49</v>
      </c>
      <c r="O25" s="374">
        <v>0.49</v>
      </c>
      <c r="P25" s="374">
        <v>0.49</v>
      </c>
      <c r="Q25" s="374">
        <v>0.49</v>
      </c>
      <c r="R25" s="374">
        <v>0.49</v>
      </c>
      <c r="S25" s="374">
        <v>0.49</v>
      </c>
      <c r="T25" s="374">
        <v>0.49</v>
      </c>
      <c r="U25" s="374">
        <v>0.49</v>
      </c>
      <c r="V25" s="374">
        <v>0.49</v>
      </c>
      <c r="W25" s="374">
        <v>0.49</v>
      </c>
      <c r="X25" s="374">
        <v>0.49</v>
      </c>
      <c r="Y25" s="120"/>
      <c r="Z25" s="8"/>
      <c r="AA25" s="8"/>
      <c r="AB25" s="8"/>
      <c r="AC25" s="8"/>
      <c r="AD25" s="8"/>
      <c r="AE25" s="8"/>
      <c r="AF25" s="8"/>
      <c r="AG25" s="8"/>
      <c r="AH25" s="8"/>
      <c r="AI25" s="8"/>
      <c r="AJ25" s="8"/>
      <c r="AK25" s="8"/>
      <c r="AL25" s="8"/>
      <c r="AM25" s="8"/>
      <c r="AN25" s="8"/>
      <c r="AO25" s="8"/>
      <c r="AP25" s="8"/>
      <c r="AQ25" s="8"/>
      <c r="AR25" s="8"/>
      <c r="AS25" s="8"/>
      <c r="AT25" s="8"/>
      <c r="AU25" s="8"/>
      <c r="AV25" s="8"/>
      <c r="AW25" s="8"/>
      <c r="AX25" s="8"/>
      <c r="AY25" s="8"/>
      <c r="AZ25" s="8"/>
    </row>
    <row r="26" spans="1:52">
      <c r="A26" s="873"/>
      <c r="B26" s="879"/>
      <c r="C26" s="876"/>
      <c r="D26" s="879"/>
      <c r="E26" s="875"/>
      <c r="F26" s="367" t="s">
        <v>273</v>
      </c>
      <c r="G26" s="367">
        <v>2013</v>
      </c>
      <c r="H26" s="379" t="s">
        <v>299</v>
      </c>
      <c r="I26" s="380">
        <f t="shared" ref="I26:X26" si="5">(1-$C$61)*I81+$C$61*I101</f>
        <v>0.36</v>
      </c>
      <c r="J26" s="380">
        <f t="shared" si="5"/>
        <v>0.36</v>
      </c>
      <c r="K26" s="380">
        <f t="shared" si="5"/>
        <v>0.36</v>
      </c>
      <c r="L26" s="380">
        <f t="shared" si="5"/>
        <v>0.36</v>
      </c>
      <c r="M26" s="380">
        <f t="shared" si="5"/>
        <v>0.36</v>
      </c>
      <c r="N26" s="380">
        <f t="shared" si="5"/>
        <v>0.36</v>
      </c>
      <c r="O26" s="380">
        <f t="shared" si="5"/>
        <v>0.36</v>
      </c>
      <c r="P26" s="380">
        <f t="shared" si="5"/>
        <v>0.36</v>
      </c>
      <c r="Q26" s="380">
        <f t="shared" si="5"/>
        <v>0.36</v>
      </c>
      <c r="R26" s="380">
        <f t="shared" si="5"/>
        <v>0.36</v>
      </c>
      <c r="S26" s="380">
        <f t="shared" si="5"/>
        <v>0.36</v>
      </c>
      <c r="T26" s="380">
        <f t="shared" si="5"/>
        <v>0.36</v>
      </c>
      <c r="U26" s="380">
        <f t="shared" si="5"/>
        <v>0.36</v>
      </c>
      <c r="V26" s="380">
        <f t="shared" si="5"/>
        <v>0.36</v>
      </c>
      <c r="W26" s="380">
        <f t="shared" si="5"/>
        <v>0.36</v>
      </c>
      <c r="X26" s="380">
        <f t="shared" si="5"/>
        <v>0.36</v>
      </c>
      <c r="Y26" s="120"/>
      <c r="Z26" s="311"/>
      <c r="AA26" s="311"/>
      <c r="AB26" s="311"/>
      <c r="AC26" s="311"/>
      <c r="AD26" s="311"/>
      <c r="AE26" s="311"/>
      <c r="AF26" s="311"/>
      <c r="AG26" s="311"/>
      <c r="AH26" s="311"/>
      <c r="AI26" s="311"/>
      <c r="AJ26" s="311"/>
      <c r="AK26" s="311"/>
      <c r="AL26" s="311"/>
      <c r="AM26" s="311"/>
      <c r="AN26" s="311"/>
      <c r="AO26" s="311"/>
      <c r="AP26" s="311"/>
      <c r="AQ26" s="311"/>
      <c r="AR26" s="311"/>
      <c r="AS26" s="311"/>
      <c r="AT26" s="8"/>
      <c r="AU26" s="8"/>
      <c r="AV26" s="8"/>
      <c r="AW26" s="8"/>
      <c r="AX26" s="8"/>
      <c r="AY26" s="8"/>
      <c r="AZ26" s="8"/>
    </row>
    <row r="27" spans="1:52">
      <c r="A27" s="873"/>
      <c r="B27" s="879"/>
      <c r="C27" s="876"/>
      <c r="D27" s="880"/>
      <c r="E27" s="875"/>
      <c r="F27" s="358" t="s">
        <v>275</v>
      </c>
      <c r="G27" s="363">
        <v>2025</v>
      </c>
      <c r="H27" s="364" t="s">
        <v>274</v>
      </c>
      <c r="I27" s="365">
        <f t="shared" ref="I27:X27" si="6">(1-$C$61)*I82+$C$61*I102</f>
        <v>0.36</v>
      </c>
      <c r="J27" s="365">
        <f t="shared" si="6"/>
        <v>0.36</v>
      </c>
      <c r="K27" s="365">
        <f t="shared" si="6"/>
        <v>0.36</v>
      </c>
      <c r="L27" s="365">
        <f t="shared" si="6"/>
        <v>0.36</v>
      </c>
      <c r="M27" s="365">
        <f t="shared" si="6"/>
        <v>0.36</v>
      </c>
      <c r="N27" s="365">
        <f t="shared" si="6"/>
        <v>0.36</v>
      </c>
      <c r="O27" s="365">
        <f t="shared" si="6"/>
        <v>0.36</v>
      </c>
      <c r="P27" s="365">
        <f t="shared" si="6"/>
        <v>0.36</v>
      </c>
      <c r="Q27" s="365">
        <f t="shared" si="6"/>
        <v>0.36</v>
      </c>
      <c r="R27" s="365">
        <f t="shared" si="6"/>
        <v>0.36</v>
      </c>
      <c r="S27" s="365">
        <f t="shared" si="6"/>
        <v>0.36</v>
      </c>
      <c r="T27" s="365">
        <f t="shared" si="6"/>
        <v>0.36</v>
      </c>
      <c r="U27" s="365">
        <f t="shared" si="6"/>
        <v>0.36</v>
      </c>
      <c r="V27" s="365">
        <f t="shared" si="6"/>
        <v>0.36</v>
      </c>
      <c r="W27" s="365">
        <f t="shared" si="6"/>
        <v>0.36</v>
      </c>
      <c r="X27" s="365">
        <f t="shared" si="6"/>
        <v>0.36</v>
      </c>
      <c r="Y27" s="120"/>
      <c r="Z27" s="312"/>
      <c r="AA27" s="312"/>
      <c r="AB27" s="312"/>
      <c r="AC27" s="312"/>
      <c r="AD27" s="312"/>
      <c r="AE27" s="312"/>
      <c r="AF27" s="312"/>
      <c r="AG27" s="312"/>
      <c r="AH27" s="312"/>
      <c r="AI27" s="312"/>
      <c r="AJ27" s="312"/>
      <c r="AK27" s="312"/>
      <c r="AL27" s="312"/>
      <c r="AM27" s="312"/>
      <c r="AN27" s="312"/>
      <c r="AO27" s="312"/>
      <c r="AP27" s="312"/>
      <c r="AQ27" s="312"/>
      <c r="AR27" s="312"/>
      <c r="AS27" s="312"/>
      <c r="AT27" s="8"/>
      <c r="AU27" s="8"/>
      <c r="AV27" s="8"/>
      <c r="AW27" s="8"/>
      <c r="AX27" s="8"/>
      <c r="AY27" s="8"/>
      <c r="AZ27" s="8"/>
    </row>
    <row r="28" spans="1:52" ht="13.9" customHeight="1">
      <c r="A28" s="873"/>
      <c r="B28" s="879"/>
      <c r="C28" s="876"/>
      <c r="D28" s="873" t="s">
        <v>295</v>
      </c>
      <c r="E28" s="875" t="s">
        <v>300</v>
      </c>
      <c r="F28" s="787" t="s">
        <v>265</v>
      </c>
      <c r="G28" s="787" t="s">
        <v>266</v>
      </c>
      <c r="H28" s="900" t="str">
        <f>H23</f>
        <v>ASHRAE Handbook of Fundamentals for single pane &amp; T24, 2013  for double pane (43%-57%)</v>
      </c>
      <c r="I28" s="66">
        <f>0.79*0.43+I$31*0.57</f>
        <v>0.48219999999999996</v>
      </c>
      <c r="J28" s="66">
        <f t="shared" ref="J28:X29" si="7">0.79*0.43+J$31*0.57</f>
        <v>0.48219999999999996</v>
      </c>
      <c r="K28" s="66">
        <f t="shared" si="7"/>
        <v>0.48219999999999996</v>
      </c>
      <c r="L28" s="66">
        <f t="shared" si="7"/>
        <v>0.48219999999999996</v>
      </c>
      <c r="M28" s="66">
        <f t="shared" si="7"/>
        <v>0.48219999999999996</v>
      </c>
      <c r="N28" s="66">
        <f t="shared" si="7"/>
        <v>0.48219999999999996</v>
      </c>
      <c r="O28" s="66">
        <f t="shared" si="7"/>
        <v>0.48219999999999996</v>
      </c>
      <c r="P28" s="66">
        <f t="shared" si="7"/>
        <v>0.48219999999999996</v>
      </c>
      <c r="Q28" s="66">
        <f t="shared" si="7"/>
        <v>0.48219999999999996</v>
      </c>
      <c r="R28" s="66">
        <f t="shared" si="7"/>
        <v>0.48219999999999996</v>
      </c>
      <c r="S28" s="66">
        <f t="shared" si="7"/>
        <v>0.48219999999999996</v>
      </c>
      <c r="T28" s="66">
        <f t="shared" si="7"/>
        <v>0.48219999999999996</v>
      </c>
      <c r="U28" s="66">
        <f t="shared" si="7"/>
        <v>0.48219999999999996</v>
      </c>
      <c r="V28" s="66">
        <f t="shared" si="7"/>
        <v>0.48219999999999996</v>
      </c>
      <c r="W28" s="66">
        <f t="shared" si="7"/>
        <v>0.48219999999999996</v>
      </c>
      <c r="X28" s="66">
        <f t="shared" si="7"/>
        <v>0.48219999999999996</v>
      </c>
      <c r="Y28" s="120"/>
      <c r="Z28" s="311"/>
      <c r="AA28" s="311"/>
      <c r="AB28" s="311"/>
      <c r="AC28" s="311"/>
      <c r="AD28" s="311"/>
      <c r="AE28" s="311"/>
      <c r="AF28" s="311"/>
      <c r="AG28" s="311"/>
      <c r="AH28" s="311"/>
      <c r="AI28" s="311"/>
      <c r="AJ28" s="311"/>
      <c r="AK28" s="311"/>
      <c r="AL28" s="311"/>
      <c r="AM28" s="311"/>
      <c r="AN28" s="311"/>
      <c r="AO28" s="311"/>
      <c r="AP28" s="311"/>
      <c r="AQ28" s="311"/>
      <c r="AR28" s="311"/>
      <c r="AS28" s="311"/>
      <c r="AT28" s="8"/>
      <c r="AU28" s="8"/>
      <c r="AV28" s="8"/>
      <c r="AW28" s="8"/>
      <c r="AX28" s="8"/>
      <c r="AY28" s="8"/>
      <c r="AZ28" s="8"/>
    </row>
    <row r="29" spans="1:52">
      <c r="A29" s="873"/>
      <c r="B29" s="879"/>
      <c r="C29" s="876"/>
      <c r="D29" s="873"/>
      <c r="E29" s="875"/>
      <c r="F29" s="274" t="s">
        <v>268</v>
      </c>
      <c r="G29" s="274" t="s">
        <v>266</v>
      </c>
      <c r="H29" s="877"/>
      <c r="I29" s="246">
        <f>0.79*0.43+I$31*0.57</f>
        <v>0.48219999999999996</v>
      </c>
      <c r="J29" s="246">
        <f t="shared" si="7"/>
        <v>0.48219999999999996</v>
      </c>
      <c r="K29" s="246">
        <f t="shared" si="7"/>
        <v>0.48219999999999996</v>
      </c>
      <c r="L29" s="246">
        <f t="shared" si="7"/>
        <v>0.48219999999999996</v>
      </c>
      <c r="M29" s="246">
        <f t="shared" si="7"/>
        <v>0.48219999999999996</v>
      </c>
      <c r="N29" s="246">
        <f t="shared" si="7"/>
        <v>0.48219999999999996</v>
      </c>
      <c r="O29" s="246">
        <f t="shared" si="7"/>
        <v>0.48219999999999996</v>
      </c>
      <c r="P29" s="246">
        <f t="shared" si="7"/>
        <v>0.48219999999999996</v>
      </c>
      <c r="Q29" s="246">
        <f t="shared" si="7"/>
        <v>0.48219999999999996</v>
      </c>
      <c r="R29" s="246">
        <f t="shared" si="7"/>
        <v>0.48219999999999996</v>
      </c>
      <c r="S29" s="246">
        <f t="shared" si="7"/>
        <v>0.48219999999999996</v>
      </c>
      <c r="T29" s="246">
        <f t="shared" si="7"/>
        <v>0.48219999999999996</v>
      </c>
      <c r="U29" s="246">
        <f t="shared" si="7"/>
        <v>0.48219999999999996</v>
      </c>
      <c r="V29" s="246">
        <f t="shared" si="7"/>
        <v>0.48219999999999996</v>
      </c>
      <c r="W29" s="246">
        <f t="shared" si="7"/>
        <v>0.48219999999999996</v>
      </c>
      <c r="X29" s="246">
        <f t="shared" si="7"/>
        <v>0.48219999999999996</v>
      </c>
      <c r="Y29" s="120"/>
      <c r="Z29" s="311"/>
      <c r="AA29" s="311"/>
      <c r="AB29" s="311"/>
      <c r="AC29" s="311"/>
      <c r="AD29" s="311"/>
      <c r="AE29" s="311"/>
      <c r="AF29" s="311"/>
      <c r="AG29" s="311"/>
      <c r="AH29" s="311"/>
      <c r="AI29" s="311"/>
      <c r="AJ29" s="311"/>
      <c r="AK29" s="311"/>
      <c r="AL29" s="311"/>
      <c r="AM29" s="311"/>
      <c r="AN29" s="311"/>
      <c r="AO29" s="311"/>
      <c r="AP29" s="311"/>
      <c r="AQ29" s="311"/>
      <c r="AR29" s="311"/>
      <c r="AS29" s="311"/>
      <c r="AT29" s="8"/>
      <c r="AU29" s="8"/>
      <c r="AV29" s="8"/>
      <c r="AW29" s="8"/>
      <c r="AX29" s="8"/>
      <c r="AY29" s="8"/>
      <c r="AZ29" s="8"/>
    </row>
    <row r="30" spans="1:52" ht="22.5" customHeight="1">
      <c r="A30" s="873"/>
      <c r="B30" s="879"/>
      <c r="C30" s="876"/>
      <c r="D30" s="878" t="s">
        <v>297</v>
      </c>
      <c r="E30" s="875"/>
      <c r="F30" s="371" t="s">
        <v>271</v>
      </c>
      <c r="G30" s="371">
        <v>2001</v>
      </c>
      <c r="H30" s="377" t="s">
        <v>301</v>
      </c>
      <c r="I30" s="374">
        <f>I123</f>
        <v>0.3</v>
      </c>
      <c r="J30" s="374">
        <f t="shared" ref="J30:X30" si="8">J123</f>
        <v>0.26</v>
      </c>
      <c r="K30" s="374">
        <f t="shared" si="8"/>
        <v>0.26</v>
      </c>
      <c r="L30" s="374">
        <f t="shared" si="8"/>
        <v>0.26</v>
      </c>
      <c r="M30" s="374">
        <f t="shared" si="8"/>
        <v>0.26</v>
      </c>
      <c r="N30" s="374">
        <f t="shared" si="8"/>
        <v>0.31</v>
      </c>
      <c r="O30" s="374">
        <f t="shared" si="8"/>
        <v>0.31</v>
      </c>
      <c r="P30" s="374">
        <f t="shared" si="8"/>
        <v>0.31</v>
      </c>
      <c r="Q30" s="374">
        <f t="shared" si="8"/>
        <v>0.31</v>
      </c>
      <c r="R30" s="374">
        <f t="shared" si="8"/>
        <v>0.26</v>
      </c>
      <c r="S30" s="374">
        <f t="shared" si="8"/>
        <v>0.26</v>
      </c>
      <c r="T30" s="374">
        <f t="shared" si="8"/>
        <v>0.26</v>
      </c>
      <c r="U30" s="374">
        <f t="shared" si="8"/>
        <v>0.26</v>
      </c>
      <c r="V30" s="374">
        <f t="shared" si="8"/>
        <v>0.26</v>
      </c>
      <c r="W30" s="374">
        <f t="shared" si="8"/>
        <v>0.26</v>
      </c>
      <c r="X30" s="374">
        <f t="shared" si="8"/>
        <v>0.3</v>
      </c>
      <c r="Y30" s="120"/>
      <c r="Z30" s="311"/>
      <c r="AA30" s="311"/>
      <c r="AB30" s="311"/>
      <c r="AC30" s="311"/>
      <c r="AD30" s="311"/>
      <c r="AE30" s="311"/>
      <c r="AF30" s="311"/>
      <c r="AG30" s="311"/>
      <c r="AH30" s="311"/>
      <c r="AI30" s="311"/>
      <c r="AJ30" s="311"/>
      <c r="AK30" s="311"/>
      <c r="AL30" s="311"/>
      <c r="AM30" s="311"/>
      <c r="AN30" s="311"/>
      <c r="AO30" s="311"/>
      <c r="AP30" s="311"/>
      <c r="AQ30" s="311"/>
      <c r="AR30" s="311"/>
      <c r="AS30" s="311"/>
      <c r="AT30" s="8"/>
      <c r="AU30" s="8"/>
      <c r="AV30" s="8"/>
      <c r="AW30" s="8"/>
      <c r="AX30" s="8"/>
      <c r="AY30" s="8"/>
      <c r="AZ30" s="8"/>
    </row>
    <row r="31" spans="1:52">
      <c r="A31" s="873"/>
      <c r="B31" s="879"/>
      <c r="C31" s="876"/>
      <c r="D31" s="879"/>
      <c r="E31" s="875"/>
      <c r="F31" s="367" t="s">
        <v>273</v>
      </c>
      <c r="G31" s="367">
        <v>2013</v>
      </c>
      <c r="H31" s="379" t="s">
        <v>302</v>
      </c>
      <c r="I31" s="369">
        <f t="shared" ref="I31:X31" si="9">(1-$C$61)*I86+$C$61*I106</f>
        <v>0.25</v>
      </c>
      <c r="J31" s="369">
        <f t="shared" si="9"/>
        <v>0.25</v>
      </c>
      <c r="K31" s="369">
        <f t="shared" si="9"/>
        <v>0.25</v>
      </c>
      <c r="L31" s="369">
        <f t="shared" si="9"/>
        <v>0.25</v>
      </c>
      <c r="M31" s="369">
        <f t="shared" si="9"/>
        <v>0.25</v>
      </c>
      <c r="N31" s="369">
        <f t="shared" si="9"/>
        <v>0.25</v>
      </c>
      <c r="O31" s="369">
        <f t="shared" si="9"/>
        <v>0.25</v>
      </c>
      <c r="P31" s="369">
        <f t="shared" si="9"/>
        <v>0.25</v>
      </c>
      <c r="Q31" s="369">
        <f t="shared" si="9"/>
        <v>0.25</v>
      </c>
      <c r="R31" s="369">
        <f t="shared" si="9"/>
        <v>0.25</v>
      </c>
      <c r="S31" s="369">
        <f t="shared" si="9"/>
        <v>0.25</v>
      </c>
      <c r="T31" s="369">
        <f t="shared" si="9"/>
        <v>0.25</v>
      </c>
      <c r="U31" s="369">
        <f t="shared" si="9"/>
        <v>0.25</v>
      </c>
      <c r="V31" s="369">
        <f t="shared" si="9"/>
        <v>0.25</v>
      </c>
      <c r="W31" s="369">
        <f t="shared" si="9"/>
        <v>0.25</v>
      </c>
      <c r="X31" s="369">
        <f t="shared" si="9"/>
        <v>0.25</v>
      </c>
      <c r="Y31" s="120"/>
      <c r="Z31" s="311"/>
      <c r="AA31" s="311"/>
      <c r="AB31" s="311"/>
      <c r="AC31" s="311"/>
      <c r="AD31" s="311"/>
      <c r="AE31" s="311"/>
      <c r="AF31" s="311"/>
      <c r="AG31" s="311"/>
      <c r="AH31" s="311"/>
      <c r="AI31" s="311"/>
      <c r="AJ31" s="311"/>
      <c r="AK31" s="311"/>
      <c r="AL31" s="311"/>
      <c r="AM31" s="311"/>
      <c r="AN31" s="311"/>
      <c r="AO31" s="311"/>
      <c r="AP31" s="311"/>
      <c r="AQ31" s="311"/>
      <c r="AR31" s="311"/>
      <c r="AS31" s="311"/>
      <c r="AT31" s="8"/>
      <c r="AU31" s="8"/>
      <c r="AV31" s="8"/>
      <c r="AW31" s="8"/>
      <c r="AX31" s="8"/>
      <c r="AY31" s="8"/>
      <c r="AZ31" s="8"/>
    </row>
    <row r="32" spans="1:52">
      <c r="A32" s="873"/>
      <c r="B32" s="880"/>
      <c r="C32" s="877"/>
      <c r="D32" s="880"/>
      <c r="E32" s="875"/>
      <c r="F32" s="358" t="s">
        <v>275</v>
      </c>
      <c r="G32" s="363">
        <v>2025</v>
      </c>
      <c r="H32" s="364" t="s">
        <v>299</v>
      </c>
      <c r="I32" s="361">
        <f t="shared" ref="I32:X32" si="10">(1-$C$61)*I87+$C$61*I107</f>
        <v>0.25</v>
      </c>
      <c r="J32" s="361">
        <f t="shared" si="10"/>
        <v>0.25</v>
      </c>
      <c r="K32" s="361">
        <f t="shared" si="10"/>
        <v>0.25</v>
      </c>
      <c r="L32" s="361">
        <f t="shared" si="10"/>
        <v>0.25</v>
      </c>
      <c r="M32" s="361">
        <f t="shared" si="10"/>
        <v>0.25</v>
      </c>
      <c r="N32" s="361">
        <f t="shared" si="10"/>
        <v>0.25</v>
      </c>
      <c r="O32" s="361">
        <f t="shared" si="10"/>
        <v>0.25</v>
      </c>
      <c r="P32" s="361">
        <f t="shared" si="10"/>
        <v>0.25</v>
      </c>
      <c r="Q32" s="361">
        <f t="shared" si="10"/>
        <v>0.25</v>
      </c>
      <c r="R32" s="361">
        <f t="shared" si="10"/>
        <v>0.25</v>
      </c>
      <c r="S32" s="361">
        <f t="shared" si="10"/>
        <v>0.25</v>
      </c>
      <c r="T32" s="361">
        <f t="shared" si="10"/>
        <v>0.25</v>
      </c>
      <c r="U32" s="361">
        <f t="shared" si="10"/>
        <v>0.25</v>
      </c>
      <c r="V32" s="361">
        <f t="shared" si="10"/>
        <v>0.25</v>
      </c>
      <c r="W32" s="361">
        <f t="shared" si="10"/>
        <v>0.25</v>
      </c>
      <c r="X32" s="361">
        <f t="shared" si="10"/>
        <v>0.25</v>
      </c>
      <c r="Y32" s="120"/>
      <c r="Z32" s="312"/>
      <c r="AA32" s="312"/>
      <c r="AB32" s="312"/>
      <c r="AC32" s="312"/>
      <c r="AD32" s="312"/>
      <c r="AE32" s="312"/>
      <c r="AF32" s="312"/>
      <c r="AG32" s="312"/>
      <c r="AH32" s="312"/>
      <c r="AI32" s="312"/>
      <c r="AJ32" s="312"/>
      <c r="AK32" s="312"/>
      <c r="AL32" s="312"/>
      <c r="AM32" s="312"/>
      <c r="AN32" s="312"/>
      <c r="AO32" s="312"/>
      <c r="AP32" s="312"/>
      <c r="AQ32" s="312"/>
      <c r="AR32" s="312"/>
      <c r="AS32" s="312"/>
      <c r="AT32" s="8"/>
      <c r="AU32" s="8"/>
      <c r="AV32" s="8"/>
      <c r="AW32" s="8"/>
      <c r="AX32" s="8"/>
      <c r="AY32" s="8"/>
      <c r="AZ32" s="8"/>
    </row>
    <row r="33" spans="1:52" ht="13.15" customHeight="1">
      <c r="A33" s="873" t="s">
        <v>303</v>
      </c>
      <c r="B33" s="878" t="s">
        <v>55</v>
      </c>
      <c r="C33" s="900" t="s">
        <v>304</v>
      </c>
      <c r="D33" s="873" t="s">
        <v>295</v>
      </c>
      <c r="E33" s="875" t="s">
        <v>264</v>
      </c>
      <c r="F33" s="787" t="s">
        <v>265</v>
      </c>
      <c r="G33" s="152" t="s">
        <v>266</v>
      </c>
      <c r="H33" s="900" t="str">
        <f>H23</f>
        <v>ASHRAE Handbook of Fundamentals for single pane &amp; T24, 2013  for double pane (43%-57%)</v>
      </c>
      <c r="I33" s="185">
        <f>1.12*0.43+I$36*0.57</f>
        <v>0.68679999999999997</v>
      </c>
      <c r="J33" s="66">
        <f t="shared" ref="J33:X34" si="11">1.12*0.43+J$36*0.57</f>
        <v>0.68679999999999997</v>
      </c>
      <c r="K33" s="66">
        <f t="shared" si="11"/>
        <v>0.68679999999999997</v>
      </c>
      <c r="L33" s="66">
        <f t="shared" si="11"/>
        <v>0.68679999999999997</v>
      </c>
      <c r="M33" s="66">
        <f t="shared" si="11"/>
        <v>0.68679999999999997</v>
      </c>
      <c r="N33" s="66">
        <f t="shared" si="11"/>
        <v>0.68679999999999997</v>
      </c>
      <c r="O33" s="66">
        <f t="shared" si="11"/>
        <v>0.68679999999999997</v>
      </c>
      <c r="P33" s="66">
        <f t="shared" si="11"/>
        <v>0.68679999999999997</v>
      </c>
      <c r="Q33" s="66">
        <f t="shared" si="11"/>
        <v>0.68679999999999997</v>
      </c>
      <c r="R33" s="66">
        <f t="shared" si="11"/>
        <v>0.68679999999999997</v>
      </c>
      <c r="S33" s="66">
        <f t="shared" si="11"/>
        <v>0.68679999999999997</v>
      </c>
      <c r="T33" s="66">
        <f t="shared" si="11"/>
        <v>0.68679999999999997</v>
      </c>
      <c r="U33" s="66">
        <f t="shared" si="11"/>
        <v>0.68679999999999997</v>
      </c>
      <c r="V33" s="66">
        <f t="shared" si="11"/>
        <v>0.68679999999999997</v>
      </c>
      <c r="W33" s="66">
        <f t="shared" si="11"/>
        <v>0.68679999999999997</v>
      </c>
      <c r="X33" s="66">
        <f t="shared" si="11"/>
        <v>0.68679999999999997</v>
      </c>
      <c r="Y33" s="120"/>
      <c r="Z33" s="311"/>
      <c r="AA33" s="311"/>
      <c r="AB33" s="311"/>
      <c r="AC33" s="311"/>
      <c r="AD33" s="311"/>
      <c r="AE33" s="311"/>
      <c r="AF33" s="311"/>
      <c r="AG33" s="311"/>
      <c r="AH33" s="311"/>
      <c r="AI33" s="311"/>
      <c r="AJ33" s="311"/>
      <c r="AK33" s="311"/>
      <c r="AL33" s="311"/>
      <c r="AM33" s="311"/>
      <c r="AN33" s="311"/>
      <c r="AO33" s="311"/>
      <c r="AP33" s="311"/>
      <c r="AQ33" s="311"/>
      <c r="AR33" s="311"/>
      <c r="AS33" s="311"/>
      <c r="AT33" s="8"/>
      <c r="AU33" s="8"/>
      <c r="AV33" s="8"/>
      <c r="AW33" s="8"/>
      <c r="AX33" s="8"/>
      <c r="AY33" s="8"/>
      <c r="AZ33" s="8"/>
    </row>
    <row r="34" spans="1:52">
      <c r="A34" s="873"/>
      <c r="B34" s="879"/>
      <c r="C34" s="876"/>
      <c r="D34" s="873"/>
      <c r="E34" s="875"/>
      <c r="F34" s="357" t="s">
        <v>268</v>
      </c>
      <c r="G34" s="184" t="s">
        <v>266</v>
      </c>
      <c r="H34" s="877"/>
      <c r="I34" s="376">
        <f>1.12*0.43+I$36*0.57</f>
        <v>0.68679999999999997</v>
      </c>
      <c r="J34" s="246">
        <f t="shared" si="11"/>
        <v>0.68679999999999997</v>
      </c>
      <c r="K34" s="246">
        <f t="shared" si="11"/>
        <v>0.68679999999999997</v>
      </c>
      <c r="L34" s="246">
        <f t="shared" si="11"/>
        <v>0.68679999999999997</v>
      </c>
      <c r="M34" s="246">
        <f t="shared" si="11"/>
        <v>0.68679999999999997</v>
      </c>
      <c r="N34" s="246">
        <f t="shared" si="11"/>
        <v>0.68679999999999997</v>
      </c>
      <c r="O34" s="246">
        <f t="shared" si="11"/>
        <v>0.68679999999999997</v>
      </c>
      <c r="P34" s="246">
        <f t="shared" si="11"/>
        <v>0.68679999999999997</v>
      </c>
      <c r="Q34" s="246">
        <f t="shared" si="11"/>
        <v>0.68679999999999997</v>
      </c>
      <c r="R34" s="246">
        <f t="shared" si="11"/>
        <v>0.68679999999999997</v>
      </c>
      <c r="S34" s="246">
        <f t="shared" si="11"/>
        <v>0.68679999999999997</v>
      </c>
      <c r="T34" s="246">
        <f t="shared" si="11"/>
        <v>0.68679999999999997</v>
      </c>
      <c r="U34" s="246">
        <f t="shared" si="11"/>
        <v>0.68679999999999997</v>
      </c>
      <c r="V34" s="246">
        <f t="shared" si="11"/>
        <v>0.68679999999999997</v>
      </c>
      <c r="W34" s="246">
        <f t="shared" si="11"/>
        <v>0.68679999999999997</v>
      </c>
      <c r="X34" s="246">
        <f t="shared" si="11"/>
        <v>0.68679999999999997</v>
      </c>
      <c r="Y34" s="120"/>
      <c r="Z34" s="311"/>
      <c r="AA34" s="311"/>
      <c r="AB34" s="311"/>
      <c r="AC34" s="311"/>
      <c r="AD34" s="311"/>
      <c r="AE34" s="311"/>
      <c r="AF34" s="311"/>
      <c r="AG34" s="311"/>
      <c r="AH34" s="311"/>
      <c r="AI34" s="311"/>
      <c r="AJ34" s="311"/>
      <c r="AK34" s="311"/>
      <c r="AL34" s="311"/>
      <c r="AM34" s="311"/>
      <c r="AN34" s="311"/>
      <c r="AO34" s="311"/>
      <c r="AP34" s="311"/>
      <c r="AQ34" s="311"/>
      <c r="AR34" s="311"/>
      <c r="AS34" s="311"/>
      <c r="AT34" s="8"/>
      <c r="AU34" s="8"/>
      <c r="AV34" s="8"/>
      <c r="AW34" s="8"/>
      <c r="AX34" s="8"/>
      <c r="AY34" s="8"/>
      <c r="AZ34" s="8"/>
    </row>
    <row r="35" spans="1:52">
      <c r="A35" s="873"/>
      <c r="B35" s="879"/>
      <c r="C35" s="876"/>
      <c r="D35" s="875" t="s">
        <v>297</v>
      </c>
      <c r="E35" s="875"/>
      <c r="F35" s="378" t="s">
        <v>271</v>
      </c>
      <c r="G35" s="373">
        <v>2001</v>
      </c>
      <c r="H35" s="373" t="s">
        <v>305</v>
      </c>
      <c r="I35" s="374">
        <v>0.49</v>
      </c>
      <c r="J35" s="375">
        <v>0.49</v>
      </c>
      <c r="K35" s="375">
        <v>0.81</v>
      </c>
      <c r="L35" s="375">
        <v>0.81</v>
      </c>
      <c r="M35" s="375">
        <v>0.81</v>
      </c>
      <c r="N35" s="375">
        <v>0.81</v>
      </c>
      <c r="O35" s="375">
        <v>0.81</v>
      </c>
      <c r="P35" s="375">
        <v>0.81</v>
      </c>
      <c r="Q35" s="375">
        <v>0.81</v>
      </c>
      <c r="R35" s="375">
        <v>0.49</v>
      </c>
      <c r="S35" s="375">
        <v>0.49</v>
      </c>
      <c r="T35" s="375">
        <v>0.49</v>
      </c>
      <c r="U35" s="375">
        <v>0.49</v>
      </c>
      <c r="V35" s="375">
        <v>0.49</v>
      </c>
      <c r="W35" s="375">
        <v>0.49</v>
      </c>
      <c r="X35" s="375">
        <v>0.49</v>
      </c>
      <c r="Y35" s="120"/>
      <c r="Z35" s="311"/>
      <c r="AA35" s="311"/>
      <c r="AB35" s="311"/>
      <c r="AC35" s="311"/>
      <c r="AD35" s="311"/>
      <c r="AE35" s="311"/>
      <c r="AF35" s="311"/>
      <c r="AG35" s="311"/>
      <c r="AH35" s="311"/>
      <c r="AI35" s="311"/>
      <c r="AJ35" s="311"/>
      <c r="AK35" s="311"/>
      <c r="AL35" s="311"/>
      <c r="AM35" s="311"/>
      <c r="AN35" s="311"/>
      <c r="AO35" s="311"/>
      <c r="AP35" s="311"/>
      <c r="AQ35" s="311"/>
      <c r="AR35" s="311"/>
      <c r="AS35" s="311"/>
      <c r="AT35" s="8"/>
      <c r="AU35" s="8"/>
      <c r="AV35" s="8"/>
      <c r="AW35" s="8"/>
      <c r="AX35" s="8"/>
      <c r="AY35" s="8"/>
      <c r="AZ35" s="8"/>
    </row>
    <row r="36" spans="1:52">
      <c r="A36" s="873"/>
      <c r="B36" s="879"/>
      <c r="C36" s="876"/>
      <c r="D36" s="875"/>
      <c r="E36" s="875"/>
      <c r="F36" s="367" t="s">
        <v>273</v>
      </c>
      <c r="G36" s="368">
        <v>2013</v>
      </c>
      <c r="H36" s="368" t="s">
        <v>292</v>
      </c>
      <c r="I36" s="369">
        <f>(1-$C$61)*I91+$C$61*I111</f>
        <v>0.36</v>
      </c>
      <c r="J36" s="370">
        <f t="shared" ref="J36:X36" si="12">(1-$C$61)*J91+$C$61*J111</f>
        <v>0.36</v>
      </c>
      <c r="K36" s="370">
        <f t="shared" si="12"/>
        <v>0.36</v>
      </c>
      <c r="L36" s="370">
        <f t="shared" si="12"/>
        <v>0.36</v>
      </c>
      <c r="M36" s="370">
        <f t="shared" si="12"/>
        <v>0.36</v>
      </c>
      <c r="N36" s="370">
        <f t="shared" si="12"/>
        <v>0.36</v>
      </c>
      <c r="O36" s="370">
        <f t="shared" si="12"/>
        <v>0.36</v>
      </c>
      <c r="P36" s="370">
        <f t="shared" si="12"/>
        <v>0.36</v>
      </c>
      <c r="Q36" s="370">
        <f t="shared" si="12"/>
        <v>0.36</v>
      </c>
      <c r="R36" s="370">
        <f t="shared" si="12"/>
        <v>0.36</v>
      </c>
      <c r="S36" s="370">
        <f t="shared" si="12"/>
        <v>0.36</v>
      </c>
      <c r="T36" s="370">
        <f t="shared" si="12"/>
        <v>0.36</v>
      </c>
      <c r="U36" s="370">
        <f t="shared" si="12"/>
        <v>0.36</v>
      </c>
      <c r="V36" s="370">
        <f t="shared" si="12"/>
        <v>0.36</v>
      </c>
      <c r="W36" s="370">
        <f t="shared" si="12"/>
        <v>0.36</v>
      </c>
      <c r="X36" s="370">
        <f t="shared" si="12"/>
        <v>0.36</v>
      </c>
      <c r="Y36" s="120"/>
      <c r="Z36" s="311"/>
      <c r="AA36" s="311"/>
      <c r="AB36" s="311"/>
      <c r="AC36" s="311"/>
      <c r="AD36" s="311"/>
      <c r="AE36" s="311"/>
      <c r="AF36" s="311"/>
      <c r="AG36" s="311"/>
      <c r="AH36" s="311"/>
      <c r="AI36" s="311"/>
      <c r="AJ36" s="311"/>
      <c r="AK36" s="311"/>
      <c r="AL36" s="311"/>
      <c r="AM36" s="311"/>
      <c r="AN36" s="311"/>
      <c r="AO36" s="311"/>
      <c r="AP36" s="311"/>
      <c r="AQ36" s="311"/>
      <c r="AR36" s="311"/>
      <c r="AS36" s="311"/>
      <c r="AT36" s="8"/>
      <c r="AU36" s="8"/>
      <c r="AV36" s="8"/>
      <c r="AW36" s="8"/>
      <c r="AX36" s="8"/>
      <c r="AY36" s="8"/>
      <c r="AZ36" s="8"/>
    </row>
    <row r="37" spans="1:52">
      <c r="A37" s="873"/>
      <c r="B37" s="879"/>
      <c r="C37" s="876"/>
      <c r="D37" s="875"/>
      <c r="E37" s="875"/>
      <c r="F37" s="358" t="s">
        <v>275</v>
      </c>
      <c r="G37" s="359">
        <v>2025</v>
      </c>
      <c r="H37" s="358" t="s">
        <v>282</v>
      </c>
      <c r="I37" s="362">
        <f t="shared" ref="I37:X37" si="13">(1-$C$61)*I92+$C$61*I112</f>
        <v>0.36</v>
      </c>
      <c r="J37" s="362">
        <f t="shared" si="13"/>
        <v>0.36</v>
      </c>
      <c r="K37" s="362">
        <f t="shared" si="13"/>
        <v>0.36</v>
      </c>
      <c r="L37" s="362">
        <f t="shared" si="13"/>
        <v>0.36</v>
      </c>
      <c r="M37" s="362">
        <f t="shared" si="13"/>
        <v>0.36</v>
      </c>
      <c r="N37" s="362">
        <f t="shared" si="13"/>
        <v>0.36</v>
      </c>
      <c r="O37" s="362">
        <f t="shared" si="13"/>
        <v>0.36</v>
      </c>
      <c r="P37" s="362">
        <f t="shared" si="13"/>
        <v>0.36</v>
      </c>
      <c r="Q37" s="362">
        <f t="shared" si="13"/>
        <v>0.34</v>
      </c>
      <c r="R37" s="362">
        <f t="shared" si="13"/>
        <v>0.36</v>
      </c>
      <c r="S37" s="362">
        <f t="shared" si="13"/>
        <v>0.34</v>
      </c>
      <c r="T37" s="362">
        <f t="shared" si="13"/>
        <v>0.34</v>
      </c>
      <c r="U37" s="362">
        <f t="shared" si="13"/>
        <v>0.34</v>
      </c>
      <c r="V37" s="362">
        <f t="shared" si="13"/>
        <v>0.34</v>
      </c>
      <c r="W37" s="362">
        <f t="shared" si="13"/>
        <v>0.34</v>
      </c>
      <c r="X37" s="362">
        <f t="shared" si="13"/>
        <v>0.36</v>
      </c>
      <c r="Y37" s="120"/>
      <c r="Z37" s="311"/>
      <c r="AA37" s="311"/>
      <c r="AB37" s="311"/>
      <c r="AC37" s="311"/>
      <c r="AD37" s="311"/>
      <c r="AE37" s="311"/>
      <c r="AF37" s="311"/>
      <c r="AG37" s="311"/>
      <c r="AH37" s="311"/>
      <c r="AI37" s="311"/>
      <c r="AJ37" s="311"/>
      <c r="AK37" s="311"/>
      <c r="AL37" s="311"/>
      <c r="AM37" s="311"/>
      <c r="AN37" s="311"/>
      <c r="AO37" s="311"/>
      <c r="AP37" s="311"/>
      <c r="AQ37" s="311"/>
      <c r="AR37" s="311"/>
      <c r="AS37" s="311"/>
      <c r="AT37" s="8"/>
      <c r="AU37" s="8"/>
      <c r="AV37" s="8"/>
      <c r="AW37" s="8"/>
      <c r="AX37" s="8"/>
      <c r="AY37" s="8"/>
      <c r="AZ37" s="8"/>
    </row>
    <row r="38" spans="1:52" ht="13.9" customHeight="1">
      <c r="A38" s="873"/>
      <c r="B38" s="879"/>
      <c r="C38" s="876"/>
      <c r="D38" s="873" t="s">
        <v>295</v>
      </c>
      <c r="E38" s="875" t="s">
        <v>300</v>
      </c>
      <c r="F38" s="787" t="s">
        <v>265</v>
      </c>
      <c r="G38" s="152" t="s">
        <v>266</v>
      </c>
      <c r="H38" s="900" t="str">
        <f>H23</f>
        <v>ASHRAE Handbook of Fundamentals for single pane &amp; T24, 2013  for double pane (43%-57%)</v>
      </c>
      <c r="I38" s="185">
        <f>0.79*0.43+I$41*0.57</f>
        <v>0.48219999999999996</v>
      </c>
      <c r="J38" s="66">
        <f t="shared" ref="J38:X39" si="14">0.79*0.43+J$41*0.57</f>
        <v>0.48219999999999996</v>
      </c>
      <c r="K38" s="66">
        <f t="shared" si="14"/>
        <v>0.48219999999999996</v>
      </c>
      <c r="L38" s="66">
        <f t="shared" si="14"/>
        <v>0.48219999999999996</v>
      </c>
      <c r="M38" s="66">
        <f t="shared" si="14"/>
        <v>0.48219999999999996</v>
      </c>
      <c r="N38" s="66">
        <f t="shared" si="14"/>
        <v>0.48219999999999996</v>
      </c>
      <c r="O38" s="66">
        <f t="shared" si="14"/>
        <v>0.48219999999999996</v>
      </c>
      <c r="P38" s="66">
        <f t="shared" si="14"/>
        <v>0.48219999999999996</v>
      </c>
      <c r="Q38" s="66">
        <f t="shared" si="14"/>
        <v>0.48219999999999996</v>
      </c>
      <c r="R38" s="66">
        <f t="shared" si="14"/>
        <v>0.48219999999999996</v>
      </c>
      <c r="S38" s="66">
        <f t="shared" si="14"/>
        <v>0.48219999999999996</v>
      </c>
      <c r="T38" s="66">
        <f t="shared" si="14"/>
        <v>0.48219999999999996</v>
      </c>
      <c r="U38" s="66">
        <f t="shared" si="14"/>
        <v>0.48219999999999996</v>
      </c>
      <c r="V38" s="66">
        <f t="shared" si="14"/>
        <v>0.48219999999999996</v>
      </c>
      <c r="W38" s="66">
        <f t="shared" si="14"/>
        <v>0.48219999999999996</v>
      </c>
      <c r="X38" s="66">
        <f t="shared" si="14"/>
        <v>0.48219999999999996</v>
      </c>
      <c r="Y38" s="120"/>
      <c r="Z38" s="8"/>
      <c r="AA38" s="8"/>
      <c r="AB38" s="8"/>
      <c r="AC38" s="8"/>
      <c r="AD38" s="8"/>
      <c r="AE38" s="8"/>
      <c r="AF38" s="8"/>
      <c r="AG38" s="8"/>
      <c r="AH38" s="8"/>
      <c r="AI38" s="8"/>
      <c r="AJ38" s="8"/>
      <c r="AK38" s="8"/>
      <c r="AL38" s="8"/>
      <c r="AM38" s="8"/>
      <c r="AN38" s="8"/>
      <c r="AO38" s="8"/>
      <c r="AP38" s="8"/>
      <c r="AQ38" s="8"/>
      <c r="AR38" s="8"/>
      <c r="AS38" s="8"/>
      <c r="AT38" s="8"/>
      <c r="AU38" s="8"/>
      <c r="AV38" s="8"/>
      <c r="AW38" s="8"/>
      <c r="AX38" s="8"/>
      <c r="AY38" s="8"/>
      <c r="AZ38" s="8"/>
    </row>
    <row r="39" spans="1:52">
      <c r="A39" s="873"/>
      <c r="B39" s="879"/>
      <c r="C39" s="876"/>
      <c r="D39" s="873"/>
      <c r="E39" s="875"/>
      <c r="F39" s="274" t="s">
        <v>268</v>
      </c>
      <c r="G39" s="245" t="s">
        <v>266</v>
      </c>
      <c r="H39" s="877"/>
      <c r="I39" s="376">
        <f>0.79*0.43+I$41*0.57</f>
        <v>0.48219999999999996</v>
      </c>
      <c r="J39" s="246">
        <f t="shared" si="14"/>
        <v>0.48219999999999996</v>
      </c>
      <c r="K39" s="246">
        <f t="shared" si="14"/>
        <v>0.48219999999999996</v>
      </c>
      <c r="L39" s="246">
        <f t="shared" si="14"/>
        <v>0.48219999999999996</v>
      </c>
      <c r="M39" s="246">
        <f t="shared" si="14"/>
        <v>0.48219999999999996</v>
      </c>
      <c r="N39" s="246">
        <f t="shared" si="14"/>
        <v>0.48219999999999996</v>
      </c>
      <c r="O39" s="246">
        <f t="shared" si="14"/>
        <v>0.48219999999999996</v>
      </c>
      <c r="P39" s="246">
        <f t="shared" si="14"/>
        <v>0.48219999999999996</v>
      </c>
      <c r="Q39" s="246">
        <f t="shared" si="14"/>
        <v>0.48219999999999996</v>
      </c>
      <c r="R39" s="246">
        <f t="shared" si="14"/>
        <v>0.48219999999999996</v>
      </c>
      <c r="S39" s="246">
        <f t="shared" si="14"/>
        <v>0.48219999999999996</v>
      </c>
      <c r="T39" s="246">
        <f t="shared" si="14"/>
        <v>0.48219999999999996</v>
      </c>
      <c r="U39" s="246">
        <f t="shared" si="14"/>
        <v>0.48219999999999996</v>
      </c>
      <c r="V39" s="246">
        <f t="shared" si="14"/>
        <v>0.48219999999999996</v>
      </c>
      <c r="W39" s="246">
        <f t="shared" si="14"/>
        <v>0.48219999999999996</v>
      </c>
      <c r="X39" s="246">
        <f t="shared" si="14"/>
        <v>0.48219999999999996</v>
      </c>
      <c r="Y39" s="120"/>
      <c r="Z39" s="8"/>
      <c r="AA39" s="8"/>
      <c r="AB39" s="8"/>
      <c r="AC39" s="8"/>
      <c r="AD39" s="8"/>
      <c r="AE39" s="8"/>
      <c r="AF39" s="8"/>
      <c r="AG39" s="8"/>
      <c r="AH39" s="8"/>
      <c r="AI39" s="8"/>
      <c r="AJ39" s="8"/>
      <c r="AK39" s="8"/>
      <c r="AL39" s="8"/>
      <c r="AM39" s="8"/>
      <c r="AN39" s="8"/>
      <c r="AO39" s="8"/>
      <c r="AP39" s="8"/>
      <c r="AQ39" s="8"/>
      <c r="AR39" s="8"/>
      <c r="AS39" s="8"/>
      <c r="AT39" s="8"/>
      <c r="AU39" s="8"/>
      <c r="AV39" s="8"/>
      <c r="AW39" s="8"/>
      <c r="AX39" s="8"/>
      <c r="AY39" s="8"/>
      <c r="AZ39" s="8"/>
    </row>
    <row r="40" spans="1:52" ht="15" customHeight="1">
      <c r="A40" s="873"/>
      <c r="B40" s="879"/>
      <c r="C40" s="876"/>
      <c r="D40" s="875" t="s">
        <v>297</v>
      </c>
      <c r="E40" s="875"/>
      <c r="F40" s="371" t="s">
        <v>271</v>
      </c>
      <c r="G40" s="372">
        <v>2001</v>
      </c>
      <c r="H40" s="373" t="s">
        <v>306</v>
      </c>
      <c r="I40" s="374">
        <f>I127</f>
        <v>0.43</v>
      </c>
      <c r="J40" s="375">
        <f t="shared" ref="J40:X40" si="15">J127</f>
        <v>0.31</v>
      </c>
      <c r="K40" s="375">
        <f t="shared" si="15"/>
        <v>0.41</v>
      </c>
      <c r="L40" s="375">
        <f t="shared" si="15"/>
        <v>0.41</v>
      </c>
      <c r="M40" s="375">
        <f t="shared" si="15"/>
        <v>0.41</v>
      </c>
      <c r="N40" s="375">
        <f t="shared" si="15"/>
        <v>0.34</v>
      </c>
      <c r="O40" s="375">
        <f t="shared" si="15"/>
        <v>0.34</v>
      </c>
      <c r="P40" s="375">
        <f t="shared" si="15"/>
        <v>0.34</v>
      </c>
      <c r="Q40" s="375">
        <f t="shared" si="15"/>
        <v>0.34</v>
      </c>
      <c r="R40" s="375">
        <f t="shared" si="15"/>
        <v>0.31</v>
      </c>
      <c r="S40" s="375">
        <f t="shared" si="15"/>
        <v>0.31</v>
      </c>
      <c r="T40" s="375">
        <f t="shared" si="15"/>
        <v>0.31</v>
      </c>
      <c r="U40" s="375">
        <f t="shared" si="15"/>
        <v>0.31</v>
      </c>
      <c r="V40" s="375">
        <f t="shared" si="15"/>
        <v>0.31</v>
      </c>
      <c r="W40" s="375">
        <f t="shared" si="15"/>
        <v>0.31</v>
      </c>
      <c r="X40" s="375">
        <f t="shared" si="15"/>
        <v>0.43</v>
      </c>
      <c r="Y40" s="120"/>
      <c r="Z40" s="8"/>
      <c r="AA40" s="8"/>
      <c r="AB40" s="8"/>
      <c r="AC40" s="8"/>
      <c r="AD40" s="8"/>
      <c r="AE40" s="8"/>
      <c r="AF40" s="8"/>
      <c r="AG40" s="8"/>
      <c r="AH40" s="8"/>
      <c r="AI40" s="8"/>
      <c r="AJ40" s="8"/>
      <c r="AK40" s="8"/>
      <c r="AL40" s="8"/>
      <c r="AM40" s="8"/>
      <c r="AN40" s="8"/>
      <c r="AO40" s="8"/>
      <c r="AP40" s="8"/>
      <c r="AQ40" s="8"/>
      <c r="AR40" s="8"/>
      <c r="AS40" s="8"/>
      <c r="AT40" s="8"/>
      <c r="AU40" s="8"/>
      <c r="AV40" s="8"/>
      <c r="AW40" s="8"/>
      <c r="AX40" s="8"/>
      <c r="AY40" s="8"/>
      <c r="AZ40" s="8"/>
    </row>
    <row r="41" spans="1:52">
      <c r="A41" s="873"/>
      <c r="B41" s="879"/>
      <c r="C41" s="876"/>
      <c r="D41" s="875"/>
      <c r="E41" s="875"/>
      <c r="F41" s="367" t="s">
        <v>273</v>
      </c>
      <c r="G41" s="368">
        <v>2013</v>
      </c>
      <c r="H41" s="368" t="s">
        <v>307</v>
      </c>
      <c r="I41" s="369">
        <f t="shared" ref="I41:X41" si="16">(1-$C$61)*I96+$C$61*I116</f>
        <v>0.25</v>
      </c>
      <c r="J41" s="370">
        <f t="shared" si="16"/>
        <v>0.25</v>
      </c>
      <c r="K41" s="370">
        <f t="shared" si="16"/>
        <v>0.25</v>
      </c>
      <c r="L41" s="370">
        <f t="shared" si="16"/>
        <v>0.25</v>
      </c>
      <c r="M41" s="370">
        <f t="shared" si="16"/>
        <v>0.25</v>
      </c>
      <c r="N41" s="370">
        <f t="shared" si="16"/>
        <v>0.25</v>
      </c>
      <c r="O41" s="370">
        <f t="shared" si="16"/>
        <v>0.25</v>
      </c>
      <c r="P41" s="370">
        <f t="shared" si="16"/>
        <v>0.25</v>
      </c>
      <c r="Q41" s="370">
        <f t="shared" si="16"/>
        <v>0.25</v>
      </c>
      <c r="R41" s="370">
        <f t="shared" si="16"/>
        <v>0.25</v>
      </c>
      <c r="S41" s="370">
        <f t="shared" si="16"/>
        <v>0.25</v>
      </c>
      <c r="T41" s="370">
        <f t="shared" si="16"/>
        <v>0.25</v>
      </c>
      <c r="U41" s="370">
        <f t="shared" si="16"/>
        <v>0.25</v>
      </c>
      <c r="V41" s="370">
        <f t="shared" si="16"/>
        <v>0.25</v>
      </c>
      <c r="W41" s="370">
        <f t="shared" si="16"/>
        <v>0.25</v>
      </c>
      <c r="X41" s="370">
        <f t="shared" si="16"/>
        <v>0.25</v>
      </c>
      <c r="Y41" s="120"/>
      <c r="Z41" s="8"/>
      <c r="AA41" s="8"/>
      <c r="AB41" s="8"/>
      <c r="AC41" s="8"/>
      <c r="AD41" s="8"/>
      <c r="AE41" s="8"/>
      <c r="AF41" s="8"/>
      <c r="AG41" s="8"/>
      <c r="AH41" s="8"/>
      <c r="AI41" s="8"/>
      <c r="AJ41" s="8"/>
      <c r="AK41" s="8"/>
      <c r="AL41" s="8"/>
      <c r="AM41" s="8"/>
      <c r="AN41" s="8"/>
      <c r="AO41" s="8"/>
      <c r="AP41" s="8"/>
      <c r="AQ41" s="8"/>
      <c r="AR41" s="8"/>
      <c r="AS41" s="8"/>
      <c r="AT41" s="8"/>
      <c r="AU41" s="8"/>
      <c r="AV41" s="8"/>
      <c r="AW41" s="8"/>
      <c r="AX41" s="8"/>
      <c r="AY41" s="8"/>
      <c r="AZ41" s="8"/>
    </row>
    <row r="42" spans="1:52">
      <c r="A42" s="873"/>
      <c r="B42" s="880"/>
      <c r="C42" s="877"/>
      <c r="D42" s="875"/>
      <c r="E42" s="875"/>
      <c r="F42" s="358" t="s">
        <v>275</v>
      </c>
      <c r="G42" s="359">
        <v>2025</v>
      </c>
      <c r="H42" s="360" t="s">
        <v>307</v>
      </c>
      <c r="I42" s="361">
        <f t="shared" ref="I42:X42" si="17">(1-$C$61)*I97+$C$61*I117</f>
        <v>0.25</v>
      </c>
      <c r="J42" s="362">
        <f t="shared" si="17"/>
        <v>0.25</v>
      </c>
      <c r="K42" s="362">
        <f t="shared" si="17"/>
        <v>0.25</v>
      </c>
      <c r="L42" s="362">
        <f t="shared" si="17"/>
        <v>0.25</v>
      </c>
      <c r="M42" s="362">
        <f t="shared" si="17"/>
        <v>0.25</v>
      </c>
      <c r="N42" s="362">
        <f t="shared" si="17"/>
        <v>0.25</v>
      </c>
      <c r="O42" s="362">
        <f t="shared" si="17"/>
        <v>0.25</v>
      </c>
      <c r="P42" s="362">
        <f t="shared" si="17"/>
        <v>0.25</v>
      </c>
      <c r="Q42" s="362">
        <f t="shared" si="17"/>
        <v>0.22</v>
      </c>
      <c r="R42" s="362">
        <f t="shared" si="17"/>
        <v>0.25</v>
      </c>
      <c r="S42" s="362">
        <f t="shared" si="17"/>
        <v>0.22</v>
      </c>
      <c r="T42" s="362">
        <f t="shared" si="17"/>
        <v>0.22</v>
      </c>
      <c r="U42" s="362">
        <f t="shared" si="17"/>
        <v>0.22</v>
      </c>
      <c r="V42" s="362">
        <f t="shared" si="17"/>
        <v>0.22</v>
      </c>
      <c r="W42" s="362">
        <f t="shared" si="17"/>
        <v>0.22</v>
      </c>
      <c r="X42" s="362">
        <f t="shared" si="17"/>
        <v>0.25</v>
      </c>
      <c r="Y42" s="120"/>
      <c r="Z42" s="8"/>
      <c r="AA42" s="8"/>
      <c r="AB42" s="8"/>
      <c r="AC42" s="8"/>
      <c r="AD42" s="8"/>
      <c r="AE42" s="8"/>
      <c r="AF42" s="8"/>
      <c r="AG42" s="8"/>
      <c r="AH42" s="8"/>
      <c r="AI42" s="8"/>
      <c r="AJ42" s="8"/>
      <c r="AK42" s="8"/>
      <c r="AL42" s="8"/>
      <c r="AM42" s="8"/>
      <c r="AN42" s="8"/>
      <c r="AO42" s="8"/>
      <c r="AP42" s="8"/>
      <c r="AQ42" s="8"/>
      <c r="AR42" s="8"/>
      <c r="AS42" s="8"/>
      <c r="AT42" s="8"/>
      <c r="AU42" s="8"/>
      <c r="AV42" s="8"/>
      <c r="AW42" s="8"/>
      <c r="AX42" s="8"/>
      <c r="AY42" s="8"/>
      <c r="AZ42" s="8"/>
    </row>
    <row r="43" spans="1:52" ht="21" customHeight="1">
      <c r="A43" s="903"/>
      <c r="B43" s="903"/>
      <c r="C43" s="903"/>
      <c r="D43" s="903"/>
      <c r="E43" s="903"/>
      <c r="F43" s="903"/>
      <c r="G43" s="903"/>
      <c r="H43" s="844"/>
      <c r="I43" s="903"/>
      <c r="J43" s="903"/>
      <c r="K43" s="903"/>
      <c r="L43" s="903"/>
      <c r="M43" s="903"/>
      <c r="N43" s="903"/>
      <c r="O43" s="903"/>
      <c r="P43" s="903"/>
      <c r="Q43" s="903"/>
      <c r="R43" s="903"/>
      <c r="S43" s="903"/>
      <c r="T43" s="903"/>
      <c r="U43" s="903"/>
      <c r="V43" s="903"/>
      <c r="W43" s="903"/>
      <c r="X43" s="903"/>
      <c r="Y43" s="8"/>
      <c r="Z43" s="8"/>
      <c r="AA43" s="8"/>
      <c r="AB43" s="8"/>
      <c r="AC43" s="8"/>
      <c r="AD43" s="8"/>
      <c r="AE43" s="8"/>
      <c r="AF43" s="8"/>
      <c r="AG43" s="8"/>
      <c r="AH43" s="8"/>
      <c r="AI43" s="8"/>
      <c r="AJ43" s="8"/>
      <c r="AK43" s="8"/>
      <c r="AL43" s="8"/>
      <c r="AM43" s="8"/>
      <c r="AN43" s="8"/>
      <c r="AO43" s="8"/>
      <c r="AP43" s="8"/>
      <c r="AQ43" s="8"/>
      <c r="AR43" s="8"/>
      <c r="AS43" s="8"/>
      <c r="AT43" s="8"/>
      <c r="AU43" s="8"/>
      <c r="AV43" s="8"/>
      <c r="AW43" s="8"/>
      <c r="AX43" s="8"/>
      <c r="AY43" s="8"/>
      <c r="AZ43" s="8"/>
    </row>
    <row r="44" spans="1:52" ht="25.9" customHeight="1">
      <c r="A44" s="10"/>
      <c r="B44" s="15"/>
      <c r="C44" s="10"/>
      <c r="D44" s="10"/>
      <c r="E44" s="886" t="s">
        <v>308</v>
      </c>
      <c r="F44" s="886"/>
      <c r="G44" s="886"/>
      <c r="H44" s="886"/>
      <c r="I44" s="886"/>
      <c r="J44" s="886"/>
      <c r="K44" s="886"/>
      <c r="L44" s="886"/>
      <c r="M44" s="886"/>
      <c r="N44" s="886"/>
      <c r="O44" s="886"/>
      <c r="P44" s="886"/>
      <c r="Q44" s="886"/>
      <c r="R44" s="886"/>
      <c r="S44" s="886"/>
      <c r="T44" s="886"/>
      <c r="U44" s="886"/>
      <c r="V44" s="886"/>
      <c r="W44" s="886"/>
      <c r="X44" s="886"/>
      <c r="Y44" s="8"/>
      <c r="Z44" s="8"/>
      <c r="AA44" s="8"/>
      <c r="AB44" s="8"/>
      <c r="AC44" s="8"/>
      <c r="AD44" s="8"/>
      <c r="AE44" s="8"/>
      <c r="AF44" s="8"/>
      <c r="AG44" s="8"/>
      <c r="AH44" s="8"/>
      <c r="AI44" s="8"/>
      <c r="AJ44" s="8"/>
      <c r="AK44" s="8"/>
      <c r="AL44" s="8"/>
      <c r="AM44" s="8"/>
      <c r="AN44" s="8"/>
      <c r="AO44" s="8"/>
      <c r="AP44" s="8"/>
      <c r="AQ44" s="8"/>
      <c r="AR44" s="8"/>
      <c r="AS44" s="8"/>
      <c r="AT44" s="8"/>
      <c r="AU44" s="8"/>
      <c r="AV44" s="8"/>
      <c r="AW44" s="8"/>
      <c r="AX44" s="8"/>
      <c r="AY44" s="8"/>
      <c r="AZ44" s="8"/>
    </row>
    <row r="45" spans="1:52" ht="43.9" customHeight="1">
      <c r="A45" s="10"/>
      <c r="B45" s="15"/>
      <c r="C45" s="10"/>
      <c r="D45" s="10"/>
      <c r="E45" s="64"/>
      <c r="F45" s="32" t="s">
        <v>243</v>
      </c>
      <c r="G45" s="67" t="s">
        <v>309</v>
      </c>
      <c r="H45" s="67" t="s">
        <v>233</v>
      </c>
      <c r="I45" s="883" t="s">
        <v>310</v>
      </c>
      <c r="J45" s="884"/>
      <c r="K45" s="884"/>
      <c r="L45" s="884"/>
      <c r="M45" s="884"/>
      <c r="N45" s="884"/>
      <c r="O45" s="884"/>
      <c r="P45" s="884"/>
      <c r="Q45" s="884"/>
      <c r="R45" s="884"/>
      <c r="S45" s="884"/>
      <c r="T45" s="884"/>
      <c r="U45" s="884"/>
      <c r="V45" s="884"/>
      <c r="W45" s="884"/>
      <c r="X45" s="885"/>
      <c r="Y45" s="8"/>
      <c r="Z45" s="8"/>
      <c r="AA45" s="8"/>
      <c r="AB45" s="8"/>
      <c r="AC45" s="8"/>
      <c r="AD45" s="8"/>
      <c r="AE45" s="8"/>
      <c r="AF45" s="8"/>
      <c r="AG45" s="8"/>
      <c r="AH45" s="8"/>
      <c r="AI45" s="8"/>
      <c r="AJ45" s="8"/>
      <c r="AK45" s="8"/>
      <c r="AL45" s="8"/>
      <c r="AM45" s="8"/>
      <c r="AN45" s="8"/>
      <c r="AO45" s="8"/>
      <c r="AP45" s="8"/>
      <c r="AQ45" s="8"/>
      <c r="AR45" s="8"/>
      <c r="AS45" s="8"/>
      <c r="AT45" s="8"/>
      <c r="AU45" s="8"/>
      <c r="AV45" s="8"/>
      <c r="AW45" s="8"/>
      <c r="AX45" s="8"/>
      <c r="AY45" s="8"/>
      <c r="AZ45" s="8"/>
    </row>
    <row r="46" spans="1:52" ht="27.6" customHeight="1">
      <c r="A46" s="10"/>
      <c r="B46" s="15"/>
      <c r="C46" s="10"/>
      <c r="D46" s="10"/>
      <c r="E46" s="878" t="s">
        <v>308</v>
      </c>
      <c r="F46" s="787" t="s">
        <v>265</v>
      </c>
      <c r="G46" s="787">
        <v>1.1000000000000001</v>
      </c>
      <c r="H46" s="68" t="s">
        <v>311</v>
      </c>
      <c r="I46" s="881">
        <v>0.2606</v>
      </c>
      <c r="J46" s="881"/>
      <c r="K46" s="881"/>
      <c r="L46" s="881"/>
      <c r="M46" s="881"/>
      <c r="N46" s="881"/>
      <c r="O46" s="881"/>
      <c r="P46" s="881"/>
      <c r="Q46" s="881"/>
      <c r="R46" s="881"/>
      <c r="S46" s="881"/>
      <c r="T46" s="881"/>
      <c r="U46" s="881"/>
      <c r="V46" s="881"/>
      <c r="W46" s="881"/>
      <c r="X46" s="882"/>
      <c r="Y46" s="8"/>
      <c r="Z46" s="8"/>
      <c r="AA46" s="8"/>
      <c r="AB46" s="8"/>
      <c r="AC46" s="8"/>
      <c r="AD46" s="8"/>
      <c r="AE46" s="8"/>
      <c r="AF46" s="8"/>
      <c r="AG46" s="8"/>
      <c r="AH46" s="8"/>
      <c r="AI46" s="8"/>
      <c r="AJ46" s="8"/>
      <c r="AK46" s="8"/>
      <c r="AL46" s="8"/>
      <c r="AM46" s="8"/>
      <c r="AN46" s="8"/>
      <c r="AO46" s="8"/>
      <c r="AP46" s="8"/>
      <c r="AQ46" s="8"/>
      <c r="AR46" s="8"/>
      <c r="AS46" s="8"/>
      <c r="AT46" s="8"/>
      <c r="AU46" s="8"/>
      <c r="AV46" s="8"/>
      <c r="AW46" s="8"/>
      <c r="AX46" s="8"/>
      <c r="AY46" s="8"/>
      <c r="AZ46" s="8"/>
    </row>
    <row r="47" spans="1:52" ht="27.6" customHeight="1">
      <c r="A47" s="10"/>
      <c r="B47" s="10"/>
      <c r="C47" s="10"/>
      <c r="D47" s="10"/>
      <c r="E47" s="879"/>
      <c r="F47" s="787" t="s">
        <v>268</v>
      </c>
      <c r="G47" s="787">
        <v>1.1000000000000001</v>
      </c>
      <c r="H47" s="68" t="s">
        <v>311</v>
      </c>
      <c r="I47" s="881">
        <f>I46</f>
        <v>0.2606</v>
      </c>
      <c r="J47" s="881"/>
      <c r="K47" s="881"/>
      <c r="L47" s="881"/>
      <c r="M47" s="881"/>
      <c r="N47" s="881"/>
      <c r="O47" s="881"/>
      <c r="P47" s="881"/>
      <c r="Q47" s="881"/>
      <c r="R47" s="881"/>
      <c r="S47" s="881"/>
      <c r="T47" s="881"/>
      <c r="U47" s="881"/>
      <c r="V47" s="881"/>
      <c r="W47" s="881"/>
      <c r="X47" s="882"/>
      <c r="Y47" s="8"/>
      <c r="Z47" s="8"/>
      <c r="AA47" s="8"/>
      <c r="AB47" s="8"/>
      <c r="AC47" s="8"/>
      <c r="AD47" s="8"/>
      <c r="AE47" s="8"/>
      <c r="AF47" s="8"/>
      <c r="AG47" s="8"/>
      <c r="AH47" s="8"/>
      <c r="AI47" s="8"/>
      <c r="AJ47" s="8"/>
      <c r="AK47" s="8"/>
      <c r="AL47" s="8"/>
      <c r="AM47" s="8"/>
      <c r="AN47" s="8"/>
      <c r="AO47" s="8"/>
      <c r="AP47" s="8"/>
      <c r="AQ47" s="8"/>
      <c r="AR47" s="8"/>
      <c r="AS47" s="8"/>
      <c r="AT47" s="8"/>
      <c r="AU47" s="8"/>
      <c r="AV47" s="8"/>
      <c r="AW47" s="8"/>
      <c r="AX47" s="8"/>
      <c r="AY47" s="8"/>
      <c r="AZ47" s="8"/>
    </row>
    <row r="48" spans="1:52" ht="27.6" customHeight="1">
      <c r="A48" s="10"/>
      <c r="B48" s="15"/>
      <c r="C48" s="10"/>
      <c r="D48" s="10"/>
      <c r="E48" s="879"/>
      <c r="F48" s="787" t="s">
        <v>271</v>
      </c>
      <c r="G48" s="787">
        <v>1.1000000000000001</v>
      </c>
      <c r="H48" s="68" t="s">
        <v>311</v>
      </c>
      <c r="I48" s="881">
        <f>I46</f>
        <v>0.2606</v>
      </c>
      <c r="J48" s="881"/>
      <c r="K48" s="881"/>
      <c r="L48" s="881"/>
      <c r="M48" s="881"/>
      <c r="N48" s="881"/>
      <c r="O48" s="881"/>
      <c r="P48" s="881"/>
      <c r="Q48" s="881"/>
      <c r="R48" s="881"/>
      <c r="S48" s="881"/>
      <c r="T48" s="881"/>
      <c r="U48" s="881"/>
      <c r="V48" s="881"/>
      <c r="W48" s="881"/>
      <c r="X48" s="882"/>
      <c r="Y48" s="58"/>
      <c r="Z48" s="8"/>
      <c r="AA48" s="8"/>
      <c r="AB48" s="847"/>
      <c r="AC48" s="847"/>
      <c r="AD48" s="847"/>
      <c r="AE48" s="847"/>
      <c r="AF48" s="847"/>
      <c r="AG48" s="847"/>
      <c r="AH48" s="847"/>
      <c r="AI48" s="847"/>
      <c r="AJ48" s="847"/>
      <c r="AK48" s="847"/>
      <c r="AL48" s="847"/>
      <c r="AM48" s="847"/>
      <c r="AN48" s="847"/>
      <c r="AO48" s="847"/>
      <c r="AP48" s="847"/>
      <c r="AQ48" s="847"/>
      <c r="AR48" s="847"/>
      <c r="AS48" s="847"/>
      <c r="AT48" s="847"/>
      <c r="AU48" s="847"/>
      <c r="AV48" s="847"/>
      <c r="AW48" s="847"/>
      <c r="AX48" s="847"/>
      <c r="AY48" s="847"/>
      <c r="AZ48" s="847"/>
    </row>
    <row r="49" spans="1:52" ht="33" customHeight="1">
      <c r="A49" s="10"/>
      <c r="B49" s="15"/>
      <c r="C49" s="10"/>
      <c r="D49" s="10"/>
      <c r="E49" s="879"/>
      <c r="F49" s="787" t="s">
        <v>273</v>
      </c>
      <c r="G49" s="787" t="s">
        <v>312</v>
      </c>
      <c r="H49" s="788" t="s">
        <v>313</v>
      </c>
      <c r="I49" s="881">
        <v>0.23849999999999999</v>
      </c>
      <c r="J49" s="881"/>
      <c r="K49" s="881"/>
      <c r="L49" s="881"/>
      <c r="M49" s="881"/>
      <c r="N49" s="881"/>
      <c r="O49" s="881"/>
      <c r="P49" s="881"/>
      <c r="Q49" s="881"/>
      <c r="R49" s="881"/>
      <c r="S49" s="881"/>
      <c r="T49" s="881"/>
      <c r="U49" s="881"/>
      <c r="V49" s="881"/>
      <c r="W49" s="881"/>
      <c r="X49" s="882"/>
      <c r="Y49" s="186"/>
      <c r="Z49" s="8"/>
      <c r="AA49" s="8"/>
      <c r="AB49" s="8"/>
      <c r="AC49" s="8"/>
      <c r="AD49" s="8"/>
      <c r="AE49" s="8"/>
      <c r="AF49" s="8"/>
      <c r="AG49" s="8"/>
      <c r="AH49" s="8"/>
      <c r="AI49" s="8"/>
      <c r="AJ49" s="8"/>
      <c r="AK49" s="8"/>
      <c r="AL49" s="8"/>
      <c r="AM49" s="8"/>
      <c r="AN49" s="8"/>
      <c r="AO49" s="8"/>
      <c r="AP49" s="8"/>
      <c r="AQ49" s="8"/>
      <c r="AR49" s="8"/>
      <c r="AS49" s="8"/>
      <c r="AT49" s="8"/>
      <c r="AU49" s="8"/>
      <c r="AV49" s="8"/>
      <c r="AW49" s="8"/>
      <c r="AX49" s="8"/>
      <c r="AY49" s="8"/>
      <c r="AZ49" s="8"/>
    </row>
    <row r="50" spans="1:52" ht="34.15" customHeight="1">
      <c r="A50" s="10"/>
      <c r="B50" s="15"/>
      <c r="C50" s="10"/>
      <c r="D50" s="10"/>
      <c r="E50" s="880"/>
      <c r="F50" s="787" t="s">
        <v>275</v>
      </c>
      <c r="G50" s="787" t="s">
        <v>314</v>
      </c>
      <c r="H50" s="788" t="s">
        <v>315</v>
      </c>
      <c r="I50" s="881" t="s">
        <v>316</v>
      </c>
      <c r="J50" s="881"/>
      <c r="K50" s="881"/>
      <c r="L50" s="881"/>
      <c r="M50" s="881"/>
      <c r="N50" s="881"/>
      <c r="O50" s="881"/>
      <c r="P50" s="881"/>
      <c r="Q50" s="881"/>
      <c r="R50" s="881"/>
      <c r="S50" s="881"/>
      <c r="T50" s="881"/>
      <c r="U50" s="881"/>
      <c r="V50" s="881"/>
      <c r="W50" s="881"/>
      <c r="X50" s="882"/>
      <c r="Y50" s="186"/>
      <c r="Z50" s="8"/>
      <c r="AA50" s="8"/>
      <c r="AB50" s="8"/>
      <c r="AC50" s="8"/>
      <c r="AD50" s="8"/>
      <c r="AE50" s="8"/>
      <c r="AF50" s="8"/>
      <c r="AG50" s="8"/>
      <c r="AH50" s="8"/>
      <c r="AI50" s="8"/>
      <c r="AJ50" s="8"/>
      <c r="AK50" s="8"/>
      <c r="AL50" s="8"/>
      <c r="AM50" s="8"/>
      <c r="AN50" s="8"/>
      <c r="AO50" s="8"/>
      <c r="AP50" s="8"/>
      <c r="AQ50" s="8"/>
      <c r="AR50" s="8"/>
      <c r="AS50" s="8"/>
      <c r="AT50" s="8"/>
      <c r="AU50" s="8"/>
      <c r="AV50" s="8"/>
      <c r="AW50" s="8"/>
      <c r="AX50" s="8"/>
      <c r="AY50" s="8"/>
      <c r="AZ50" s="8"/>
    </row>
    <row r="51" spans="1:52" ht="14.45">
      <c r="A51" s="8"/>
      <c r="B51" s="186"/>
      <c r="C51" s="8"/>
      <c r="D51" s="8"/>
      <c r="E51" s="899" t="s">
        <v>35</v>
      </c>
      <c r="F51" s="899"/>
      <c r="G51" s="899"/>
      <c r="H51" s="899"/>
      <c r="I51" s="899"/>
      <c r="J51" s="899"/>
      <c r="K51" s="899"/>
      <c r="L51" s="899"/>
      <c r="M51" s="899"/>
      <c r="N51" s="899"/>
      <c r="O51" s="899"/>
      <c r="P51" s="899"/>
      <c r="Q51" s="899"/>
      <c r="R51" s="899"/>
      <c r="S51" s="899"/>
      <c r="T51" s="899"/>
      <c r="U51" s="899"/>
      <c r="V51" s="899"/>
      <c r="W51" s="899"/>
      <c r="X51" s="899"/>
      <c r="Y51" s="8"/>
      <c r="Z51" s="8"/>
      <c r="AA51" s="8"/>
      <c r="AB51" s="8"/>
      <c r="AC51" s="8"/>
      <c r="AD51" s="8"/>
      <c r="AE51" s="8"/>
      <c r="AF51" s="8"/>
      <c r="AG51" s="8"/>
      <c r="AH51" s="8"/>
      <c r="AI51" s="8"/>
      <c r="AJ51" s="8"/>
      <c r="AK51" s="8"/>
      <c r="AL51" s="8"/>
      <c r="AM51" s="8"/>
      <c r="AN51" s="8"/>
      <c r="AO51" s="8"/>
      <c r="AP51" s="8"/>
      <c r="AQ51" s="8"/>
      <c r="AR51" s="8"/>
      <c r="AS51" s="8"/>
      <c r="AT51" s="8"/>
      <c r="AU51" s="8"/>
      <c r="AV51" s="8"/>
      <c r="AW51" s="8"/>
      <c r="AX51" s="8"/>
      <c r="AY51" s="8"/>
      <c r="AZ51" s="8"/>
    </row>
    <row r="52" spans="1:52" s="451" customFormat="1" ht="28.15" customHeight="1">
      <c r="A52" s="120"/>
      <c r="B52" s="450"/>
      <c r="C52" s="120"/>
      <c r="D52" s="120"/>
      <c r="E52" s="844" t="s">
        <v>317</v>
      </c>
      <c r="F52" s="844"/>
      <c r="G52" s="844"/>
      <c r="H52" s="844"/>
      <c r="I52" s="844"/>
      <c r="J52" s="844"/>
      <c r="K52" s="844"/>
      <c r="L52" s="844"/>
      <c r="M52" s="844"/>
      <c r="N52" s="844"/>
      <c r="O52" s="844"/>
      <c r="P52" s="844"/>
      <c r="Q52" s="844"/>
      <c r="R52" s="844"/>
      <c r="S52" s="844"/>
      <c r="T52" s="844"/>
      <c r="U52" s="844"/>
      <c r="V52" s="844"/>
      <c r="W52" s="844"/>
      <c r="X52" s="844"/>
      <c r="Y52" s="120"/>
      <c r="Z52" s="120"/>
      <c r="AA52" s="120"/>
      <c r="AB52" s="120"/>
      <c r="AC52" s="120"/>
      <c r="AD52" s="120"/>
      <c r="AE52" s="120"/>
      <c r="AF52" s="120"/>
      <c r="AG52" s="120"/>
      <c r="AH52" s="120"/>
      <c r="AI52" s="120"/>
      <c r="AJ52" s="120"/>
      <c r="AK52" s="120"/>
      <c r="AL52" s="120"/>
      <c r="AM52" s="120"/>
      <c r="AN52" s="120"/>
      <c r="AO52" s="120"/>
      <c r="AP52" s="120"/>
      <c r="AQ52" s="120"/>
      <c r="AR52" s="120"/>
      <c r="AS52" s="120"/>
      <c r="AT52" s="120"/>
      <c r="AU52" s="120"/>
      <c r="AV52" s="120"/>
      <c r="AW52" s="120"/>
      <c r="AX52" s="120"/>
      <c r="AY52" s="120"/>
      <c r="AZ52" s="120"/>
    </row>
    <row r="53" spans="1:52" ht="85.15" customHeight="1">
      <c r="A53" s="8"/>
      <c r="B53" s="186"/>
      <c r="C53" s="8"/>
      <c r="D53" s="8"/>
      <c r="E53" s="898" t="s">
        <v>318</v>
      </c>
      <c r="F53" s="898"/>
      <c r="G53" s="898"/>
      <c r="H53" s="898"/>
      <c r="I53" s="898"/>
      <c r="J53" s="898"/>
      <c r="K53" s="898"/>
      <c r="L53" s="898"/>
      <c r="M53" s="898"/>
      <c r="N53" s="898"/>
      <c r="O53" s="898"/>
      <c r="P53" s="898"/>
      <c r="Q53" s="898"/>
      <c r="R53" s="898"/>
      <c r="S53" s="898"/>
      <c r="T53" s="898"/>
      <c r="U53" s="898"/>
      <c r="V53" s="898"/>
      <c r="W53" s="898"/>
      <c r="X53" s="898"/>
      <c r="Y53" s="8"/>
      <c r="Z53" s="8"/>
      <c r="AA53" s="8"/>
      <c r="AB53" s="8"/>
      <c r="AC53" s="8"/>
      <c r="AD53" s="8"/>
      <c r="AE53" s="8"/>
      <c r="AF53" s="8"/>
      <c r="AG53" s="8"/>
      <c r="AH53" s="8"/>
      <c r="AI53" s="8"/>
      <c r="AJ53" s="8"/>
      <c r="AK53" s="8"/>
      <c r="AL53" s="8"/>
      <c r="AM53" s="8"/>
      <c r="AN53" s="8"/>
      <c r="AO53" s="8"/>
      <c r="AP53" s="8"/>
      <c r="AQ53" s="8"/>
      <c r="AR53" s="8"/>
      <c r="AS53" s="8"/>
      <c r="AT53" s="8"/>
      <c r="AU53" s="8"/>
      <c r="AV53" s="8"/>
      <c r="AW53" s="8"/>
      <c r="AX53" s="8"/>
      <c r="AY53" s="8"/>
      <c r="AZ53" s="8"/>
    </row>
    <row r="54" spans="1:52">
      <c r="A54" s="8"/>
      <c r="B54" s="186"/>
      <c r="C54" s="8"/>
      <c r="D54" s="8"/>
      <c r="E54" s="844"/>
      <c r="F54" s="844"/>
      <c r="G54" s="844"/>
      <c r="H54" s="844"/>
      <c r="I54" s="844"/>
      <c r="J54" s="844"/>
      <c r="K54" s="844"/>
      <c r="L54" s="844"/>
      <c r="M54" s="844"/>
      <c r="N54" s="844"/>
      <c r="O54" s="844"/>
      <c r="P54" s="844"/>
      <c r="Q54" s="844"/>
      <c r="R54" s="844"/>
      <c r="S54" s="844"/>
      <c r="T54" s="844"/>
      <c r="U54" s="844"/>
      <c r="V54" s="844"/>
      <c r="W54" s="844"/>
      <c r="X54" s="844"/>
      <c r="Y54" s="8"/>
      <c r="Z54" s="8"/>
      <c r="AA54" s="8"/>
      <c r="AB54" s="8"/>
      <c r="AC54" s="8"/>
      <c r="AD54" s="8"/>
      <c r="AE54" s="8"/>
      <c r="AF54" s="8"/>
      <c r="AG54" s="8"/>
      <c r="AH54" s="8"/>
      <c r="AI54" s="8"/>
      <c r="AJ54" s="8"/>
      <c r="AK54" s="8"/>
      <c r="AL54" s="8"/>
      <c r="AM54" s="8"/>
      <c r="AN54" s="8"/>
      <c r="AO54" s="8"/>
      <c r="AP54" s="8"/>
      <c r="AQ54" s="8"/>
      <c r="AR54" s="8"/>
      <c r="AS54" s="8"/>
      <c r="AT54" s="8"/>
      <c r="AU54" s="8"/>
      <c r="AV54" s="8"/>
      <c r="AW54" s="8"/>
      <c r="AX54" s="8"/>
      <c r="AY54" s="8"/>
      <c r="AZ54" s="8"/>
    </row>
    <row r="55" spans="1:52" ht="14.45" customHeight="1">
      <c r="A55" s="8"/>
      <c r="B55" s="186"/>
      <c r="C55" s="8"/>
      <c r="D55" s="8"/>
      <c r="E55" s="841" t="s">
        <v>319</v>
      </c>
      <c r="F55" s="841"/>
      <c r="G55" s="841"/>
      <c r="H55" s="841"/>
      <c r="I55" s="841"/>
      <c r="J55" s="841"/>
      <c r="K55" s="841"/>
      <c r="L55" s="841"/>
      <c r="M55" s="841"/>
      <c r="N55" s="841"/>
      <c r="O55" s="841"/>
      <c r="P55" s="841"/>
      <c r="Q55" s="841"/>
      <c r="R55" s="841"/>
      <c r="S55" s="841"/>
      <c r="T55" s="841"/>
      <c r="U55" s="841"/>
      <c r="V55" s="841"/>
      <c r="W55" s="841"/>
      <c r="X55" s="841"/>
      <c r="Y55" s="8"/>
      <c r="Z55" s="8"/>
      <c r="AA55" s="8"/>
      <c r="AB55" s="8"/>
      <c r="AC55" s="8"/>
      <c r="AD55" s="8"/>
      <c r="AE55" s="8"/>
      <c r="AF55" s="8"/>
      <c r="AG55" s="8"/>
      <c r="AH55" s="8"/>
      <c r="AI55" s="8"/>
      <c r="AJ55" s="8"/>
      <c r="AK55" s="8"/>
      <c r="AL55" s="8"/>
      <c r="AM55" s="8"/>
      <c r="AN55" s="8"/>
      <c r="AO55" s="8"/>
      <c r="AP55" s="8"/>
      <c r="AQ55" s="8"/>
      <c r="AR55" s="8"/>
      <c r="AS55" s="8"/>
      <c r="AT55" s="8"/>
      <c r="AU55" s="8"/>
      <c r="AV55" s="8"/>
      <c r="AW55" s="8"/>
      <c r="AX55" s="8"/>
      <c r="AY55" s="8"/>
      <c r="AZ55" s="8"/>
    </row>
    <row r="56" spans="1:52" ht="13.9" hidden="1" customHeight="1">
      <c r="A56" s="8"/>
      <c r="B56" s="186"/>
      <c r="C56" s="8"/>
      <c r="D56" s="8"/>
      <c r="E56" s="841"/>
      <c r="F56" s="841"/>
      <c r="G56" s="841"/>
      <c r="H56" s="841"/>
      <c r="I56" s="841"/>
      <c r="J56" s="841"/>
      <c r="K56" s="841"/>
      <c r="L56" s="841"/>
      <c r="M56" s="841"/>
      <c r="N56" s="841"/>
      <c r="O56" s="841"/>
      <c r="P56" s="841"/>
      <c r="Q56" s="841"/>
      <c r="R56" s="841"/>
      <c r="S56" s="841"/>
      <c r="T56" s="841"/>
      <c r="U56" s="841"/>
      <c r="V56" s="841"/>
      <c r="W56" s="841"/>
      <c r="X56" s="841"/>
      <c r="Y56" s="8"/>
      <c r="Z56" s="8"/>
      <c r="AA56" s="8"/>
      <c r="AB56" s="8"/>
      <c r="AC56" s="8"/>
      <c r="AD56" s="8"/>
      <c r="AE56" s="8"/>
      <c r="AF56" s="8"/>
      <c r="AG56" s="8"/>
      <c r="AH56" s="8"/>
      <c r="AI56" s="8"/>
      <c r="AJ56" s="8"/>
      <c r="AK56" s="8"/>
      <c r="AL56" s="8"/>
      <c r="AM56" s="8"/>
      <c r="AN56" s="8"/>
      <c r="AO56" s="8"/>
      <c r="AP56" s="8"/>
      <c r="AQ56" s="8"/>
      <c r="AR56" s="8"/>
      <c r="AS56" s="8"/>
      <c r="AT56" s="8"/>
      <c r="AU56" s="8"/>
      <c r="AV56" s="8"/>
      <c r="AW56" s="8"/>
      <c r="AX56" s="8"/>
      <c r="AY56" s="8"/>
      <c r="AZ56" s="8"/>
    </row>
    <row r="57" spans="1:52" hidden="1">
      <c r="A57" s="8"/>
      <c r="B57" s="186"/>
      <c r="C57" s="8"/>
      <c r="D57" s="8"/>
      <c r="E57" s="15"/>
      <c r="F57" s="15"/>
      <c r="G57" s="15"/>
      <c r="H57" s="15"/>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8"/>
      <c r="AN57" s="8"/>
      <c r="AO57" s="8"/>
      <c r="AP57" s="8"/>
      <c r="AQ57" s="8"/>
      <c r="AR57" s="8"/>
      <c r="AS57" s="8"/>
      <c r="AT57" s="8"/>
      <c r="AU57" s="8"/>
      <c r="AV57" s="8"/>
      <c r="AW57" s="8"/>
      <c r="AX57" s="8"/>
      <c r="AY57" s="8"/>
      <c r="AZ57" s="8"/>
    </row>
    <row r="58" spans="1:52" hidden="1">
      <c r="A58" s="8"/>
      <c r="B58" s="186"/>
      <c r="C58" s="8"/>
      <c r="D58" s="8"/>
      <c r="E58" s="8"/>
      <c r="F58" s="8"/>
      <c r="G58" s="113"/>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8"/>
      <c r="AN58" s="8"/>
      <c r="AO58" s="8"/>
      <c r="AP58" s="8"/>
      <c r="AQ58" s="8"/>
      <c r="AR58" s="8"/>
      <c r="AS58" s="8"/>
      <c r="AT58" s="8"/>
      <c r="AU58" s="8"/>
      <c r="AV58" s="8"/>
      <c r="AW58" s="8"/>
      <c r="AX58" s="8"/>
      <c r="AY58" s="8"/>
      <c r="AZ58" s="8"/>
    </row>
    <row r="59" spans="1:52" s="127" customFormat="1" ht="20.45" hidden="1" customHeight="1">
      <c r="A59" s="127" t="s">
        <v>320</v>
      </c>
    </row>
    <row r="60" spans="1:52" s="154" customFormat="1" ht="17.45" hidden="1">
      <c r="A60" s="187"/>
      <c r="B60" s="187"/>
      <c r="C60" s="187"/>
      <c r="D60" s="187"/>
      <c r="E60" s="188"/>
      <c r="F60" s="189"/>
      <c r="G60" s="190"/>
      <c r="H60" s="187"/>
      <c r="I60" s="187"/>
      <c r="J60" s="187"/>
      <c r="K60" s="187"/>
      <c r="L60" s="187"/>
      <c r="M60" s="187"/>
      <c r="N60" s="187"/>
      <c r="O60" s="187"/>
      <c r="P60" s="187"/>
      <c r="Q60" s="187"/>
      <c r="R60" s="187"/>
      <c r="S60" s="187"/>
      <c r="T60" s="187"/>
      <c r="U60" s="187"/>
      <c r="V60" s="187"/>
      <c r="W60" s="187"/>
      <c r="X60" s="187"/>
      <c r="Y60" s="187"/>
      <c r="Z60" s="187"/>
      <c r="AA60" s="187"/>
      <c r="AB60" s="187"/>
      <c r="AC60" s="187"/>
      <c r="AD60" s="187"/>
      <c r="AE60" s="187"/>
      <c r="AF60" s="187"/>
      <c r="AG60" s="187"/>
      <c r="AH60" s="187"/>
      <c r="AI60" s="187"/>
      <c r="AJ60" s="187"/>
      <c r="AK60" s="187"/>
      <c r="AL60" s="187"/>
      <c r="AM60" s="187"/>
      <c r="AN60" s="187"/>
      <c r="AO60" s="187"/>
      <c r="AP60" s="187"/>
      <c r="AQ60" s="187"/>
      <c r="AR60" s="187"/>
      <c r="AS60" s="187"/>
      <c r="AT60" s="187"/>
      <c r="AU60" s="187"/>
      <c r="AV60" s="187"/>
      <c r="AW60" s="187"/>
      <c r="AX60" s="187"/>
      <c r="AY60" s="187"/>
      <c r="AZ60" s="187"/>
    </row>
    <row r="61" spans="1:52" s="154" customFormat="1" ht="17.45" hidden="1">
      <c r="A61" s="904" t="s">
        <v>321</v>
      </c>
      <c r="B61" s="905"/>
      <c r="C61" s="230">
        <v>0</v>
      </c>
      <c r="D61" s="187"/>
      <c r="E61" s="188"/>
      <c r="F61" s="189"/>
      <c r="G61" s="190"/>
      <c r="H61" s="187"/>
      <c r="I61" s="187"/>
      <c r="J61" s="187"/>
      <c r="K61" s="187"/>
      <c r="L61" s="187"/>
      <c r="M61" s="187"/>
      <c r="N61" s="187"/>
      <c r="O61" s="187"/>
      <c r="P61" s="187"/>
      <c r="Q61" s="187"/>
      <c r="R61" s="187"/>
      <c r="S61" s="187"/>
      <c r="T61" s="187"/>
      <c r="U61" s="187"/>
      <c r="V61" s="187"/>
      <c r="W61" s="187"/>
      <c r="X61" s="187"/>
      <c r="Y61" s="187"/>
      <c r="Z61" s="187"/>
      <c r="AA61" s="187"/>
      <c r="AB61" s="187"/>
      <c r="AC61" s="187"/>
      <c r="AD61" s="187"/>
      <c r="AE61" s="187"/>
      <c r="AF61" s="187"/>
      <c r="AG61" s="187"/>
      <c r="AH61" s="187"/>
      <c r="AI61" s="187"/>
      <c r="AJ61" s="187"/>
      <c r="AK61" s="187"/>
      <c r="AL61" s="187"/>
      <c r="AM61" s="187"/>
      <c r="AN61" s="187"/>
      <c r="AO61" s="187"/>
      <c r="AP61" s="187"/>
      <c r="AQ61" s="187"/>
      <c r="AR61" s="187"/>
      <c r="AS61" s="187"/>
      <c r="AT61" s="187"/>
      <c r="AU61" s="187"/>
      <c r="AV61" s="187"/>
      <c r="AW61" s="187"/>
      <c r="AX61" s="187"/>
      <c r="AY61" s="187"/>
      <c r="AZ61" s="187"/>
    </row>
    <row r="62" spans="1:52" s="154" customFormat="1" ht="17.45" hidden="1">
      <c r="A62" s="187"/>
      <c r="B62" s="187"/>
      <c r="C62" s="187"/>
      <c r="D62" s="187"/>
      <c r="E62" s="188"/>
      <c r="F62" s="189"/>
      <c r="G62" s="190"/>
      <c r="H62" s="187"/>
      <c r="I62" s="187"/>
      <c r="J62" s="187"/>
      <c r="K62" s="187"/>
      <c r="L62" s="187"/>
      <c r="M62" s="187"/>
      <c r="N62" s="187"/>
      <c r="O62" s="187"/>
      <c r="P62" s="187"/>
      <c r="Q62" s="187"/>
      <c r="R62" s="187"/>
      <c r="S62" s="187"/>
      <c r="T62" s="187"/>
      <c r="U62" s="187"/>
      <c r="V62" s="187"/>
      <c r="W62" s="187"/>
      <c r="X62" s="187"/>
      <c r="Y62" s="187"/>
      <c r="Z62" s="187"/>
      <c r="AA62" s="187"/>
      <c r="AB62" s="187"/>
      <c r="AC62" s="187"/>
      <c r="AD62" s="187"/>
      <c r="AE62" s="187"/>
      <c r="AF62" s="187"/>
      <c r="AG62" s="187"/>
      <c r="AH62" s="187"/>
      <c r="AI62" s="187"/>
      <c r="AJ62" s="187"/>
      <c r="AK62" s="187"/>
      <c r="AL62" s="187"/>
      <c r="AM62" s="187"/>
      <c r="AN62" s="187"/>
      <c r="AO62" s="187"/>
      <c r="AP62" s="187"/>
      <c r="AQ62" s="187"/>
      <c r="AR62" s="187"/>
      <c r="AS62" s="187"/>
      <c r="AT62" s="187"/>
      <c r="AU62" s="187"/>
      <c r="AV62" s="187"/>
      <c r="AW62" s="187"/>
      <c r="AX62" s="187"/>
      <c r="AY62" s="187"/>
      <c r="AZ62" s="187"/>
    </row>
    <row r="63" spans="1:52" s="154" customFormat="1" ht="17.45" hidden="1">
      <c r="A63" s="187"/>
      <c r="B63" s="187"/>
      <c r="C63" s="187"/>
      <c r="D63" s="187"/>
      <c r="E63" s="188"/>
      <c r="F63" s="189"/>
      <c r="G63" s="190"/>
      <c r="H63" s="187"/>
      <c r="I63" s="187"/>
      <c r="J63" s="187"/>
      <c r="K63" s="187"/>
      <c r="L63" s="187"/>
      <c r="M63" s="187"/>
      <c r="N63" s="187"/>
      <c r="O63" s="187"/>
      <c r="P63" s="187"/>
      <c r="Q63" s="187"/>
      <c r="R63" s="187"/>
      <c r="S63" s="187"/>
      <c r="T63" s="187"/>
      <c r="U63" s="187"/>
      <c r="V63" s="187"/>
      <c r="W63" s="187"/>
      <c r="X63" s="187"/>
      <c r="Y63" s="187"/>
      <c r="Z63" s="187"/>
      <c r="AA63" s="187"/>
      <c r="AB63" s="187"/>
      <c r="AC63" s="187"/>
      <c r="AD63" s="187"/>
      <c r="AE63" s="187"/>
      <c r="AF63" s="187"/>
      <c r="AG63" s="187"/>
      <c r="AH63" s="187"/>
      <c r="AI63" s="187"/>
      <c r="AJ63" s="187"/>
      <c r="AK63" s="187"/>
      <c r="AL63" s="187"/>
      <c r="AM63" s="187"/>
      <c r="AN63" s="187"/>
      <c r="AO63" s="187"/>
      <c r="AP63" s="187"/>
      <c r="AQ63" s="187"/>
      <c r="AR63" s="187"/>
      <c r="AS63" s="187"/>
      <c r="AT63" s="187"/>
      <c r="AU63" s="187"/>
      <c r="AV63" s="187"/>
      <c r="AW63" s="187"/>
      <c r="AX63" s="187"/>
      <c r="AY63" s="187"/>
      <c r="AZ63" s="187"/>
    </row>
    <row r="64" spans="1:52" s="154" customFormat="1" ht="17.45" hidden="1">
      <c r="A64" s="187"/>
      <c r="B64" s="187"/>
      <c r="C64" s="187"/>
      <c r="D64" s="187"/>
      <c r="E64" s="188"/>
      <c r="F64" s="189"/>
      <c r="G64" s="190"/>
      <c r="H64" s="187"/>
      <c r="I64" s="187"/>
      <c r="J64" s="187"/>
      <c r="K64" s="187"/>
      <c r="L64" s="187"/>
      <c r="M64" s="187"/>
      <c r="N64" s="187"/>
      <c r="O64" s="187"/>
      <c r="P64" s="187"/>
      <c r="Q64" s="187"/>
      <c r="R64" s="187"/>
      <c r="S64" s="187"/>
      <c r="T64" s="187"/>
      <c r="U64" s="187"/>
      <c r="V64" s="187"/>
      <c r="W64" s="187"/>
      <c r="X64" s="187"/>
      <c r="Y64" s="187"/>
      <c r="Z64" s="187"/>
      <c r="AA64" s="187"/>
      <c r="AB64" s="187"/>
      <c r="AC64" s="187"/>
      <c r="AD64" s="187"/>
      <c r="AE64" s="187"/>
      <c r="AF64" s="187"/>
      <c r="AG64" s="187"/>
      <c r="AH64" s="187"/>
      <c r="AI64" s="187"/>
      <c r="AJ64" s="187"/>
      <c r="AK64" s="187"/>
      <c r="AL64" s="187"/>
      <c r="AM64" s="187"/>
      <c r="AN64" s="187"/>
      <c r="AO64" s="187"/>
      <c r="AP64" s="187"/>
      <c r="AQ64" s="187"/>
      <c r="AR64" s="187"/>
      <c r="AS64" s="187"/>
      <c r="AT64" s="187"/>
      <c r="AU64" s="187"/>
      <c r="AV64" s="187"/>
      <c r="AW64" s="187"/>
      <c r="AX64" s="187"/>
      <c r="AY64" s="187"/>
      <c r="AZ64" s="187"/>
    </row>
    <row r="65" spans="1:52" hidden="1">
      <c r="A65" s="196" t="s">
        <v>322</v>
      </c>
      <c r="B65" s="15"/>
      <c r="C65" s="10"/>
      <c r="D65" s="10"/>
      <c r="E65" s="10"/>
      <c r="F65" s="10"/>
      <c r="G65" s="779"/>
      <c r="H65" s="10"/>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8"/>
      <c r="AN65" s="8"/>
      <c r="AO65" s="8"/>
      <c r="AP65" s="8"/>
      <c r="AQ65" s="8"/>
      <c r="AR65" s="8"/>
      <c r="AS65" s="8"/>
      <c r="AT65" s="8"/>
      <c r="AU65" s="8"/>
      <c r="AV65" s="8"/>
      <c r="AW65" s="8"/>
      <c r="AX65" s="8"/>
      <c r="AY65" s="8"/>
      <c r="AZ65" s="8"/>
    </row>
    <row r="66" spans="1:52" hidden="1">
      <c r="A66" s="196"/>
      <c r="B66" s="15"/>
      <c r="C66" s="10"/>
      <c r="D66" s="10"/>
      <c r="E66" s="10"/>
      <c r="F66" s="10"/>
      <c r="G66" s="779"/>
      <c r="H66" s="10"/>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8"/>
      <c r="AN66" s="8"/>
      <c r="AO66" s="8"/>
      <c r="AP66" s="8"/>
      <c r="AQ66" s="8"/>
      <c r="AR66" s="8"/>
      <c r="AS66" s="8"/>
      <c r="AT66" s="8"/>
      <c r="AU66" s="8"/>
      <c r="AV66" s="8"/>
      <c r="AW66" s="8"/>
      <c r="AX66" s="8"/>
      <c r="AY66" s="8"/>
      <c r="AZ66" s="8"/>
    </row>
    <row r="67" spans="1:52" hidden="1">
      <c r="A67" s="875" t="s">
        <v>323</v>
      </c>
      <c r="B67" s="875" t="s">
        <v>55</v>
      </c>
      <c r="C67" s="873" t="s">
        <v>324</v>
      </c>
      <c r="D67" s="874" t="s">
        <v>325</v>
      </c>
      <c r="E67" s="875" t="s">
        <v>326</v>
      </c>
      <c r="F67" s="787" t="s">
        <v>265</v>
      </c>
      <c r="G67" s="787" t="s">
        <v>266</v>
      </c>
      <c r="H67" s="900" t="s">
        <v>327</v>
      </c>
      <c r="I67" s="153">
        <f t="shared" ref="I67:X67" si="18">I68</f>
        <v>5.7000000000000002E-2</v>
      </c>
      <c r="J67" s="153">
        <f t="shared" si="18"/>
        <v>5.7000000000000002E-2</v>
      </c>
      <c r="K67" s="153">
        <f t="shared" si="18"/>
        <v>5.7000000000000002E-2</v>
      </c>
      <c r="L67" s="153">
        <f t="shared" si="18"/>
        <v>5.7000000000000002E-2</v>
      </c>
      <c r="M67" s="153">
        <f t="shared" si="18"/>
        <v>5.7000000000000002E-2</v>
      </c>
      <c r="N67" s="153">
        <f t="shared" si="18"/>
        <v>7.8E-2</v>
      </c>
      <c r="O67" s="153">
        <f t="shared" si="18"/>
        <v>7.8E-2</v>
      </c>
      <c r="P67" s="153">
        <f t="shared" si="18"/>
        <v>7.8E-2</v>
      </c>
      <c r="Q67" s="153">
        <f t="shared" si="18"/>
        <v>7.8E-2</v>
      </c>
      <c r="R67" s="153">
        <f t="shared" si="18"/>
        <v>7.8E-2</v>
      </c>
      <c r="S67" s="153">
        <f t="shared" si="18"/>
        <v>5.7000000000000002E-2</v>
      </c>
      <c r="T67" s="153">
        <f t="shared" si="18"/>
        <v>5.7000000000000002E-2</v>
      </c>
      <c r="U67" s="153">
        <f t="shared" si="18"/>
        <v>5.7000000000000002E-2</v>
      </c>
      <c r="V67" s="153">
        <f t="shared" si="18"/>
        <v>5.7000000000000002E-2</v>
      </c>
      <c r="W67" s="153">
        <f t="shared" si="18"/>
        <v>5.7000000000000002E-2</v>
      </c>
      <c r="X67" s="153">
        <f t="shared" si="18"/>
        <v>5.7000000000000002E-2</v>
      </c>
      <c r="Y67" s="120"/>
      <c r="Z67" s="241"/>
      <c r="AA67" s="8"/>
      <c r="AB67" s="8"/>
      <c r="AC67" s="8"/>
      <c r="AD67" s="8"/>
      <c r="AE67" s="8"/>
      <c r="AF67" s="8"/>
      <c r="AG67" s="8"/>
      <c r="AH67" s="8"/>
      <c r="AI67" s="8"/>
      <c r="AJ67" s="8"/>
      <c r="AK67" s="8"/>
      <c r="AL67" s="8"/>
      <c r="AM67" s="8"/>
      <c r="AN67" s="8"/>
      <c r="AO67" s="8"/>
      <c r="AP67" s="8"/>
      <c r="AQ67" s="8"/>
      <c r="AR67" s="8"/>
      <c r="AS67" s="8"/>
      <c r="AT67" s="8"/>
      <c r="AU67" s="8"/>
      <c r="AV67" s="8"/>
      <c r="AW67" s="8"/>
      <c r="AX67" s="8"/>
      <c r="AY67" s="8"/>
      <c r="AZ67" s="8"/>
    </row>
    <row r="68" spans="1:52" hidden="1">
      <c r="A68" s="875"/>
      <c r="B68" s="875"/>
      <c r="C68" s="873"/>
      <c r="D68" s="874"/>
      <c r="E68" s="875"/>
      <c r="F68" s="787" t="s">
        <v>268</v>
      </c>
      <c r="G68" s="787">
        <v>1992</v>
      </c>
      <c r="H68" s="877"/>
      <c r="I68" s="66">
        <v>5.7000000000000002E-2</v>
      </c>
      <c r="J68" s="66">
        <v>5.7000000000000002E-2</v>
      </c>
      <c r="K68" s="66">
        <v>5.7000000000000002E-2</v>
      </c>
      <c r="L68" s="66">
        <v>5.7000000000000002E-2</v>
      </c>
      <c r="M68" s="66">
        <v>5.7000000000000002E-2</v>
      </c>
      <c r="N68" s="66">
        <v>7.8E-2</v>
      </c>
      <c r="O68" s="66">
        <v>7.8E-2</v>
      </c>
      <c r="P68" s="66">
        <v>7.8E-2</v>
      </c>
      <c r="Q68" s="66">
        <v>7.8E-2</v>
      </c>
      <c r="R68" s="66">
        <v>7.8E-2</v>
      </c>
      <c r="S68" s="66">
        <v>5.7000000000000002E-2</v>
      </c>
      <c r="T68" s="66">
        <v>5.7000000000000002E-2</v>
      </c>
      <c r="U68" s="66">
        <v>5.7000000000000002E-2</v>
      </c>
      <c r="V68" s="66">
        <v>5.7000000000000002E-2</v>
      </c>
      <c r="W68" s="66">
        <v>5.7000000000000002E-2</v>
      </c>
      <c r="X68" s="66">
        <v>5.7000000000000002E-2</v>
      </c>
      <c r="Y68" s="120"/>
      <c r="Z68" s="8"/>
      <c r="AA68" s="8"/>
      <c r="AB68" s="8"/>
      <c r="AC68" s="8"/>
      <c r="AD68" s="8"/>
      <c r="AE68" s="8"/>
      <c r="AF68" s="8"/>
      <c r="AG68" s="8"/>
      <c r="AH68" s="8"/>
      <c r="AI68" s="8"/>
      <c r="AJ68" s="8"/>
      <c r="AK68" s="8"/>
      <c r="AL68" s="8"/>
      <c r="AM68" s="8"/>
      <c r="AN68" s="8"/>
      <c r="AO68" s="8"/>
      <c r="AP68" s="8"/>
      <c r="AQ68" s="8"/>
      <c r="AR68" s="8"/>
      <c r="AS68" s="8"/>
      <c r="AT68" s="8"/>
      <c r="AU68" s="8"/>
      <c r="AV68" s="8"/>
      <c r="AW68" s="8"/>
      <c r="AX68" s="8"/>
      <c r="AY68" s="8"/>
      <c r="AZ68" s="8"/>
    </row>
    <row r="69" spans="1:52" hidden="1">
      <c r="A69" s="875"/>
      <c r="B69" s="875"/>
      <c r="C69" s="873"/>
      <c r="D69" s="874"/>
      <c r="E69" s="875"/>
      <c r="F69" s="787" t="s">
        <v>271</v>
      </c>
      <c r="G69" s="787">
        <v>2001</v>
      </c>
      <c r="H69" s="152" t="s">
        <v>281</v>
      </c>
      <c r="I69" s="66">
        <v>5.7000000000000002E-2</v>
      </c>
      <c r="J69" s="66">
        <v>5.7000000000000002E-2</v>
      </c>
      <c r="K69" s="66">
        <v>5.7000000000000002E-2</v>
      </c>
      <c r="L69" s="66">
        <v>5.7000000000000002E-2</v>
      </c>
      <c r="M69" s="66">
        <v>5.7000000000000002E-2</v>
      </c>
      <c r="N69" s="66">
        <v>7.8E-2</v>
      </c>
      <c r="O69" s="66">
        <v>7.8E-2</v>
      </c>
      <c r="P69" s="66">
        <v>7.8E-2</v>
      </c>
      <c r="Q69" s="66">
        <v>7.8E-2</v>
      </c>
      <c r="R69" s="66">
        <v>5.7000000000000002E-2</v>
      </c>
      <c r="S69" s="66">
        <v>5.7000000000000002E-2</v>
      </c>
      <c r="T69" s="66">
        <v>5.7000000000000002E-2</v>
      </c>
      <c r="U69" s="66">
        <v>5.7000000000000002E-2</v>
      </c>
      <c r="V69" s="66">
        <v>5.7000000000000002E-2</v>
      </c>
      <c r="W69" s="66">
        <v>5.7000000000000002E-2</v>
      </c>
      <c r="X69" s="66">
        <v>5.7000000000000002E-2</v>
      </c>
      <c r="Y69" s="120"/>
      <c r="Z69" s="8"/>
      <c r="AA69" s="8"/>
      <c r="AB69" s="8"/>
      <c r="AC69" s="8"/>
      <c r="AD69" s="8"/>
      <c r="AE69" s="8"/>
      <c r="AF69" s="8"/>
      <c r="AG69" s="8"/>
      <c r="AH69" s="8"/>
      <c r="AI69" s="8"/>
      <c r="AJ69" s="8"/>
      <c r="AK69" s="8"/>
      <c r="AL69" s="8"/>
      <c r="AM69" s="8"/>
      <c r="AN69" s="8"/>
      <c r="AO69" s="8"/>
      <c r="AP69" s="8"/>
      <c r="AQ69" s="8"/>
      <c r="AR69" s="8"/>
      <c r="AS69" s="8"/>
      <c r="AT69" s="8"/>
      <c r="AU69" s="8"/>
      <c r="AV69" s="8"/>
      <c r="AW69" s="8"/>
      <c r="AX69" s="8"/>
      <c r="AY69" s="8"/>
      <c r="AZ69" s="8"/>
    </row>
    <row r="70" spans="1:52" hidden="1">
      <c r="A70" s="875"/>
      <c r="B70" s="875"/>
      <c r="C70" s="873"/>
      <c r="D70" s="874"/>
      <c r="E70" s="875"/>
      <c r="F70" s="787" t="s">
        <v>273</v>
      </c>
      <c r="G70" s="787">
        <v>2013</v>
      </c>
      <c r="H70" s="152" t="s">
        <v>282</v>
      </c>
      <c r="I70" s="66">
        <v>4.9000000000000002E-2</v>
      </c>
      <c r="J70" s="66">
        <v>3.9E-2</v>
      </c>
      <c r="K70" s="66">
        <v>3.9E-2</v>
      </c>
      <c r="L70" s="66">
        <v>3.9E-2</v>
      </c>
      <c r="M70" s="66">
        <v>4.9000000000000002E-2</v>
      </c>
      <c r="N70" s="66">
        <v>7.4999999999999997E-2</v>
      </c>
      <c r="O70" s="66">
        <v>6.7000000000000004E-2</v>
      </c>
      <c r="P70" s="66">
        <v>6.7000000000000004E-2</v>
      </c>
      <c r="Q70" s="66">
        <v>3.9E-2</v>
      </c>
      <c r="R70" s="66">
        <v>3.9E-2</v>
      </c>
      <c r="S70" s="66">
        <v>3.9E-2</v>
      </c>
      <c r="T70" s="66">
        <v>3.9E-2</v>
      </c>
      <c r="U70" s="66">
        <v>3.9E-2</v>
      </c>
      <c r="V70" s="66">
        <v>3.9E-2</v>
      </c>
      <c r="W70" s="66">
        <v>3.9E-2</v>
      </c>
      <c r="X70" s="66">
        <v>3.9E-2</v>
      </c>
      <c r="Y70" s="120"/>
      <c r="Z70" s="8"/>
      <c r="AA70" s="8"/>
      <c r="AB70" s="8"/>
      <c r="AC70" s="8"/>
      <c r="AD70" s="8"/>
      <c r="AE70" s="8"/>
      <c r="AF70" s="8"/>
      <c r="AG70" s="8"/>
      <c r="AH70" s="8"/>
      <c r="AI70" s="8"/>
      <c r="AJ70" s="8"/>
      <c r="AK70" s="8"/>
      <c r="AL70" s="8"/>
      <c r="AM70" s="8"/>
      <c r="AN70" s="8"/>
      <c r="AO70" s="8"/>
      <c r="AP70" s="8"/>
      <c r="AQ70" s="8"/>
      <c r="AR70" s="8"/>
      <c r="AS70" s="8"/>
      <c r="AT70" s="8"/>
      <c r="AU70" s="8"/>
      <c r="AV70" s="8"/>
      <c r="AW70" s="8"/>
      <c r="AX70" s="8"/>
      <c r="AY70" s="8"/>
      <c r="AZ70" s="8"/>
    </row>
    <row r="71" spans="1:52" hidden="1">
      <c r="A71" s="875"/>
      <c r="B71" s="875"/>
      <c r="C71" s="873"/>
      <c r="D71" s="874"/>
      <c r="E71" s="875"/>
      <c r="F71" s="787" t="s">
        <v>275</v>
      </c>
      <c r="G71" s="786">
        <v>2025</v>
      </c>
      <c r="H71" s="152" t="s">
        <v>282</v>
      </c>
      <c r="I71" s="153">
        <v>2.8000000000000001E-2</v>
      </c>
      <c r="J71" s="153">
        <v>2.8000000000000001E-2</v>
      </c>
      <c r="K71" s="153">
        <v>2.8000000000000001E-2</v>
      </c>
      <c r="L71" s="153">
        <v>2.8000000000000001E-2</v>
      </c>
      <c r="M71" s="153">
        <v>2.8000000000000001E-2</v>
      </c>
      <c r="N71" s="153">
        <v>4.7E-2</v>
      </c>
      <c r="O71" s="153">
        <v>4.7E-2</v>
      </c>
      <c r="P71" s="153">
        <v>4.7E-2</v>
      </c>
      <c r="Q71" s="153">
        <v>2.8000000000000001E-2</v>
      </c>
      <c r="R71" s="153">
        <v>2.8000000000000001E-2</v>
      </c>
      <c r="S71" s="153">
        <v>2.8000000000000001E-2</v>
      </c>
      <c r="T71" s="153">
        <v>2.8000000000000001E-2</v>
      </c>
      <c r="U71" s="153">
        <v>2.8000000000000001E-2</v>
      </c>
      <c r="V71" s="153">
        <v>2.8000000000000001E-2</v>
      </c>
      <c r="W71" s="153">
        <v>2.8000000000000001E-2</v>
      </c>
      <c r="X71" s="153">
        <v>2.8000000000000001E-2</v>
      </c>
      <c r="Y71" s="120"/>
      <c r="Z71" s="8"/>
      <c r="AA71" s="8"/>
      <c r="AB71" s="8"/>
      <c r="AC71" s="8"/>
      <c r="AD71" s="8"/>
      <c r="AE71" s="8"/>
      <c r="AF71" s="8"/>
      <c r="AG71" s="8"/>
      <c r="AH71" s="8"/>
      <c r="AI71" s="8"/>
      <c r="AJ71" s="8"/>
      <c r="AK71" s="8"/>
      <c r="AL71" s="8"/>
      <c r="AM71" s="8"/>
      <c r="AN71" s="8"/>
      <c r="AO71" s="8"/>
      <c r="AP71" s="8"/>
      <c r="AQ71" s="8"/>
      <c r="AR71" s="8"/>
      <c r="AS71" s="8"/>
      <c r="AT71" s="8"/>
      <c r="AU71" s="8"/>
      <c r="AV71" s="8"/>
      <c r="AW71" s="8"/>
      <c r="AX71" s="8"/>
      <c r="AY71" s="8"/>
      <c r="AZ71" s="8"/>
    </row>
    <row r="72" spans="1:52" hidden="1">
      <c r="A72" s="12"/>
      <c r="B72" s="12"/>
      <c r="C72" s="14"/>
      <c r="D72" s="172"/>
      <c r="E72" s="12"/>
      <c r="F72" s="12"/>
      <c r="G72" s="291"/>
      <c r="H72" s="12"/>
      <c r="I72" s="292"/>
      <c r="J72" s="292"/>
      <c r="K72" s="292"/>
      <c r="L72" s="292"/>
      <c r="M72" s="292"/>
      <c r="N72" s="292"/>
      <c r="O72" s="292"/>
      <c r="P72" s="292"/>
      <c r="Q72" s="292"/>
      <c r="R72" s="292"/>
      <c r="S72" s="292"/>
      <c r="T72" s="292"/>
      <c r="U72" s="292"/>
      <c r="V72" s="292"/>
      <c r="W72" s="292"/>
      <c r="X72" s="292"/>
      <c r="Y72" s="120"/>
      <c r="Z72" s="8"/>
      <c r="AA72" s="8"/>
      <c r="AB72" s="8"/>
      <c r="AC72" s="8"/>
      <c r="AD72" s="8"/>
      <c r="AE72" s="8"/>
      <c r="AF72" s="8"/>
      <c r="AG72" s="8"/>
      <c r="AH72" s="8"/>
      <c r="AI72" s="8"/>
      <c r="AJ72" s="8"/>
      <c r="AK72" s="8"/>
      <c r="AL72" s="8"/>
      <c r="AM72" s="8"/>
      <c r="AN72" s="8"/>
      <c r="AO72" s="8"/>
      <c r="AP72" s="8"/>
      <c r="AQ72" s="8"/>
      <c r="AR72" s="8"/>
      <c r="AS72" s="8"/>
      <c r="AT72" s="8"/>
      <c r="AU72" s="8"/>
      <c r="AV72" s="8"/>
      <c r="AW72" s="8"/>
      <c r="AX72" s="8"/>
      <c r="AY72" s="8"/>
      <c r="AZ72" s="8"/>
    </row>
    <row r="73" spans="1:52" hidden="1">
      <c r="A73" s="12"/>
      <c r="B73" s="12"/>
      <c r="C73" s="14"/>
      <c r="D73" s="172"/>
      <c r="E73" s="12"/>
      <c r="F73" s="12"/>
      <c r="G73" s="291"/>
      <c r="H73" s="12"/>
      <c r="I73" s="292"/>
      <c r="J73" s="292"/>
      <c r="K73" s="292"/>
      <c r="L73" s="292"/>
      <c r="M73" s="292"/>
      <c r="N73" s="292"/>
      <c r="O73" s="292"/>
      <c r="P73" s="292"/>
      <c r="Q73" s="292"/>
      <c r="R73" s="292"/>
      <c r="S73" s="292"/>
      <c r="T73" s="292"/>
      <c r="U73" s="292"/>
      <c r="V73" s="292"/>
      <c r="W73" s="292"/>
      <c r="X73" s="292"/>
      <c r="Y73" s="120"/>
      <c r="Z73" s="8"/>
      <c r="AA73" s="8"/>
      <c r="AB73" s="8"/>
      <c r="AC73" s="8"/>
      <c r="AD73" s="8"/>
      <c r="AE73" s="8"/>
      <c r="AF73" s="8"/>
      <c r="AG73" s="8"/>
      <c r="AH73" s="8"/>
      <c r="AI73" s="8"/>
      <c r="AJ73" s="8"/>
      <c r="AK73" s="8"/>
      <c r="AL73" s="8"/>
      <c r="AM73" s="8"/>
      <c r="AN73" s="8"/>
      <c r="AO73" s="8"/>
      <c r="AP73" s="8"/>
      <c r="AQ73" s="8"/>
      <c r="AR73" s="8"/>
      <c r="AS73" s="8"/>
      <c r="AT73" s="8"/>
      <c r="AU73" s="8"/>
      <c r="AV73" s="8"/>
      <c r="AW73" s="8"/>
      <c r="AX73" s="8"/>
      <c r="AY73" s="8"/>
      <c r="AZ73" s="8"/>
    </row>
    <row r="74" spans="1:52" hidden="1">
      <c r="A74" s="889" t="s">
        <v>328</v>
      </c>
      <c r="B74" s="889"/>
      <c r="C74" s="889"/>
      <c r="D74" s="889"/>
      <c r="E74" s="889"/>
      <c r="F74" s="889"/>
      <c r="G74" s="889"/>
      <c r="H74" s="889"/>
      <c r="I74" s="161"/>
      <c r="J74" s="161"/>
      <c r="K74" s="161"/>
      <c r="L74" s="161"/>
      <c r="M74" s="161"/>
      <c r="N74" s="161"/>
      <c r="O74" s="161"/>
      <c r="P74" s="161"/>
      <c r="Q74" s="161"/>
      <c r="R74" s="161"/>
      <c r="S74" s="161"/>
      <c r="T74" s="161"/>
      <c r="U74" s="161"/>
      <c r="V74" s="161"/>
      <c r="W74" s="161"/>
      <c r="X74" s="161"/>
      <c r="Y74" s="161"/>
      <c r="Z74" s="161"/>
      <c r="AA74" s="161"/>
      <c r="AB74" s="8"/>
      <c r="AC74" s="8"/>
      <c r="AD74" s="8"/>
      <c r="AE74" s="8"/>
      <c r="AF74" s="8"/>
      <c r="AG74" s="8"/>
      <c r="AH74" s="8"/>
      <c r="AI74" s="8"/>
      <c r="AJ74" s="8"/>
      <c r="AK74" s="8"/>
      <c r="AL74" s="8"/>
      <c r="AM74" s="8"/>
      <c r="AN74" s="8"/>
      <c r="AO74" s="8"/>
      <c r="AP74" s="8"/>
      <c r="AQ74" s="8"/>
      <c r="AR74" s="8"/>
      <c r="AS74" s="8"/>
      <c r="AT74" s="8"/>
      <c r="AU74" s="8"/>
      <c r="AV74" s="8"/>
      <c r="AW74" s="8"/>
      <c r="AX74" s="8"/>
      <c r="AY74" s="8"/>
      <c r="AZ74" s="8"/>
    </row>
    <row r="75" spans="1:52" ht="32.450000000000003" hidden="1" customHeight="1">
      <c r="A75" s="888" t="s">
        <v>329</v>
      </c>
      <c r="B75" s="888"/>
      <c r="C75" s="888"/>
      <c r="D75" s="888"/>
      <c r="E75" s="888"/>
      <c r="F75" s="888"/>
      <c r="G75" s="888"/>
      <c r="H75" s="888"/>
      <c r="I75" s="161"/>
      <c r="J75" s="161"/>
      <c r="K75" s="161"/>
      <c r="L75" s="161"/>
      <c r="M75" s="161"/>
      <c r="N75" s="161"/>
      <c r="O75" s="161"/>
      <c r="P75" s="161"/>
      <c r="Q75" s="161"/>
      <c r="R75" s="161"/>
      <c r="S75" s="161"/>
      <c r="T75" s="161"/>
      <c r="U75" s="161"/>
      <c r="V75" s="161"/>
      <c r="W75" s="161"/>
      <c r="X75" s="161"/>
      <c r="Y75" s="161"/>
      <c r="Z75" s="161"/>
      <c r="AA75" s="161"/>
      <c r="AB75" s="8"/>
      <c r="AC75" s="8"/>
      <c r="AD75" s="8"/>
      <c r="AE75" s="8"/>
      <c r="AF75" s="8"/>
      <c r="AG75" s="8"/>
      <c r="AH75" s="8"/>
      <c r="AI75" s="8"/>
      <c r="AJ75" s="8"/>
      <c r="AK75" s="8"/>
      <c r="AL75" s="8"/>
      <c r="AM75" s="8"/>
      <c r="AN75" s="8"/>
      <c r="AO75" s="8"/>
      <c r="AP75" s="8"/>
      <c r="AQ75" s="8"/>
      <c r="AR75" s="8"/>
      <c r="AS75" s="8"/>
      <c r="AT75" s="8"/>
      <c r="AU75" s="8"/>
      <c r="AV75" s="8"/>
      <c r="AW75" s="8"/>
      <c r="AX75" s="8"/>
      <c r="AY75" s="8"/>
      <c r="AZ75" s="8"/>
    </row>
    <row r="76" spans="1:52" ht="21" hidden="1" customHeight="1">
      <c r="A76" s="161"/>
      <c r="B76" s="161"/>
      <c r="C76" s="161"/>
      <c r="D76" s="161"/>
      <c r="E76" s="161"/>
      <c r="F76" s="161"/>
      <c r="G76" s="161"/>
      <c r="H76" s="161"/>
      <c r="I76" s="161"/>
      <c r="J76" s="161"/>
      <c r="K76" s="161"/>
      <c r="L76" s="161"/>
      <c r="M76" s="161"/>
      <c r="N76" s="161"/>
      <c r="O76" s="161"/>
      <c r="P76" s="161"/>
      <c r="Q76" s="161"/>
      <c r="R76" s="161"/>
      <c r="S76" s="161"/>
      <c r="T76" s="161"/>
      <c r="U76" s="161"/>
      <c r="V76" s="161"/>
      <c r="W76" s="161"/>
      <c r="X76" s="161"/>
      <c r="Y76" s="161"/>
      <c r="Z76" s="161"/>
      <c r="AA76" s="161"/>
      <c r="AB76" s="8"/>
      <c r="AC76" s="8"/>
      <c r="AD76" s="8"/>
      <c r="AE76" s="8"/>
      <c r="AF76" s="8"/>
      <c r="AG76" s="8"/>
      <c r="AH76" s="8"/>
      <c r="AI76" s="8"/>
      <c r="AJ76" s="8"/>
      <c r="AK76" s="8"/>
      <c r="AL76" s="8"/>
      <c r="AM76" s="8"/>
      <c r="AN76" s="8"/>
      <c r="AO76" s="8"/>
      <c r="AP76" s="8"/>
      <c r="AQ76" s="8"/>
      <c r="AR76" s="8"/>
      <c r="AS76" s="8"/>
      <c r="AT76" s="8"/>
      <c r="AU76" s="8"/>
      <c r="AV76" s="8"/>
      <c r="AW76" s="8"/>
      <c r="AX76" s="8"/>
      <c r="AY76" s="8"/>
      <c r="AZ76" s="8"/>
    </row>
    <row r="77" spans="1:52" hidden="1">
      <c r="A77" s="197"/>
      <c r="B77" s="197"/>
      <c r="C77" s="197"/>
      <c r="D77" s="197"/>
      <c r="E77" s="197"/>
      <c r="F77" s="197"/>
      <c r="G77" s="198"/>
      <c r="H77" s="197"/>
      <c r="I77" s="197"/>
      <c r="J77" s="197"/>
      <c r="K77" s="197"/>
      <c r="L77" s="197"/>
      <c r="M77" s="197"/>
      <c r="N77" s="197"/>
      <c r="O77" s="197"/>
      <c r="P77" s="197"/>
      <c r="Q77" s="197"/>
      <c r="R77" s="197"/>
      <c r="S77" s="197"/>
      <c r="T77" s="197"/>
      <c r="U77" s="197"/>
      <c r="V77" s="197"/>
      <c r="W77" s="197"/>
      <c r="X77" s="197"/>
      <c r="Y77" s="197"/>
      <c r="Z77" s="197"/>
      <c r="AA77" s="197"/>
      <c r="AB77" s="10"/>
      <c r="AC77" s="10"/>
      <c r="AD77" s="10"/>
      <c r="AE77" s="10"/>
      <c r="AF77" s="10"/>
      <c r="AG77" s="8"/>
      <c r="AH77" s="8"/>
      <c r="AI77" s="8"/>
      <c r="AJ77" s="8"/>
      <c r="AK77" s="8"/>
      <c r="AL77" s="8"/>
      <c r="AM77" s="8"/>
      <c r="AN77" s="8"/>
      <c r="AO77" s="8"/>
      <c r="AP77" s="8"/>
      <c r="AQ77" s="8"/>
      <c r="AR77" s="8"/>
      <c r="AS77" s="8"/>
      <c r="AT77" s="8"/>
      <c r="AU77" s="8"/>
      <c r="AV77" s="8"/>
      <c r="AW77" s="8"/>
      <c r="AX77" s="8"/>
      <c r="AY77" s="8"/>
      <c r="AZ77" s="8"/>
    </row>
    <row r="78" spans="1:52" ht="13.9" hidden="1" customHeight="1">
      <c r="A78" s="891" t="s">
        <v>330</v>
      </c>
      <c r="B78" s="890" t="s">
        <v>55</v>
      </c>
      <c r="C78" s="891" t="s">
        <v>331</v>
      </c>
      <c r="D78" s="892"/>
      <c r="E78" s="890" t="s">
        <v>326</v>
      </c>
      <c r="F78" s="789" t="s">
        <v>265</v>
      </c>
      <c r="G78" s="162" t="s">
        <v>266</v>
      </c>
      <c r="H78" s="199"/>
      <c r="I78" s="200"/>
      <c r="J78" s="200"/>
      <c r="K78" s="200"/>
      <c r="L78" s="200"/>
      <c r="M78" s="200"/>
      <c r="N78" s="200"/>
      <c r="O78" s="200"/>
      <c r="P78" s="200"/>
      <c r="Q78" s="200"/>
      <c r="R78" s="200"/>
      <c r="S78" s="200"/>
      <c r="T78" s="200"/>
      <c r="U78" s="200"/>
      <c r="V78" s="200"/>
      <c r="W78" s="200"/>
      <c r="X78" s="201"/>
      <c r="Y78" s="197"/>
      <c r="Z78" s="197"/>
      <c r="AA78" s="197"/>
      <c r="AB78" s="10"/>
      <c r="AC78" s="10"/>
      <c r="AD78" s="10"/>
      <c r="AE78" s="10"/>
      <c r="AF78" s="10"/>
      <c r="AG78" s="8"/>
      <c r="AH78" s="8"/>
      <c r="AI78" s="8"/>
      <c r="AJ78" s="8"/>
      <c r="AK78" s="8"/>
      <c r="AL78" s="8"/>
      <c r="AM78" s="8"/>
      <c r="AN78" s="8"/>
      <c r="AO78" s="8"/>
      <c r="AP78" s="8"/>
      <c r="AQ78" s="8"/>
      <c r="AR78" s="8"/>
      <c r="AS78" s="8"/>
      <c r="AT78" s="8"/>
      <c r="AU78" s="8"/>
      <c r="AV78" s="8"/>
      <c r="AW78" s="8"/>
      <c r="AX78" s="8"/>
      <c r="AY78" s="8"/>
      <c r="AZ78" s="8"/>
    </row>
    <row r="79" spans="1:52" hidden="1">
      <c r="A79" s="891"/>
      <c r="B79" s="890"/>
      <c r="C79" s="890"/>
      <c r="D79" s="893"/>
      <c r="E79" s="890"/>
      <c r="F79" s="789" t="s">
        <v>268</v>
      </c>
      <c r="G79" s="162">
        <v>1984</v>
      </c>
      <c r="H79" s="202"/>
      <c r="I79" s="197"/>
      <c r="J79" s="197"/>
      <c r="K79" s="197"/>
      <c r="L79" s="197"/>
      <c r="M79" s="197"/>
      <c r="N79" s="197"/>
      <c r="O79" s="197"/>
      <c r="P79" s="197"/>
      <c r="Q79" s="197"/>
      <c r="R79" s="197"/>
      <c r="S79" s="197"/>
      <c r="T79" s="197"/>
      <c r="U79" s="197"/>
      <c r="V79" s="197"/>
      <c r="W79" s="197"/>
      <c r="X79" s="203"/>
      <c r="Y79" s="197"/>
      <c r="Z79" s="197"/>
      <c r="AA79" s="197"/>
      <c r="AB79" s="10"/>
      <c r="AC79" s="10"/>
      <c r="AD79" s="10"/>
      <c r="AE79" s="10"/>
      <c r="AF79" s="10"/>
      <c r="AG79" s="8"/>
      <c r="AH79" s="8"/>
      <c r="AI79" s="8"/>
      <c r="AJ79" s="8"/>
      <c r="AK79" s="8"/>
      <c r="AL79" s="8"/>
      <c r="AM79" s="8"/>
      <c r="AN79" s="8"/>
      <c r="AO79" s="8"/>
      <c r="AP79" s="8"/>
      <c r="AQ79" s="8"/>
      <c r="AR79" s="8"/>
      <c r="AS79" s="8"/>
      <c r="AT79" s="8"/>
      <c r="AU79" s="8"/>
      <c r="AV79" s="8"/>
      <c r="AW79" s="8"/>
      <c r="AX79" s="8"/>
      <c r="AY79" s="8"/>
      <c r="AZ79" s="8"/>
    </row>
    <row r="80" spans="1:52" hidden="1">
      <c r="A80" s="891"/>
      <c r="B80" s="890"/>
      <c r="C80" s="890"/>
      <c r="D80" s="894"/>
      <c r="E80" s="890"/>
      <c r="F80" s="789" t="s">
        <v>271</v>
      </c>
      <c r="G80" s="162">
        <v>2001</v>
      </c>
      <c r="H80" s="202"/>
      <c r="I80" s="197">
        <v>0.49</v>
      </c>
      <c r="J80" s="197">
        <v>0.49</v>
      </c>
      <c r="K80" s="197">
        <v>0.49</v>
      </c>
      <c r="L80" s="197">
        <v>0.49</v>
      </c>
      <c r="M80" s="197">
        <v>0.49</v>
      </c>
      <c r="N80" s="197">
        <v>0.49</v>
      </c>
      <c r="O80" s="197">
        <v>0.49</v>
      </c>
      <c r="P80" s="197">
        <v>0.49</v>
      </c>
      <c r="Q80" s="197">
        <v>0.49</v>
      </c>
      <c r="R80" s="197">
        <v>0.49</v>
      </c>
      <c r="S80" s="197">
        <v>0.49</v>
      </c>
      <c r="T80" s="197">
        <v>0.49</v>
      </c>
      <c r="U80" s="197">
        <v>0.49</v>
      </c>
      <c r="V80" s="197">
        <v>0.49</v>
      </c>
      <c r="W80" s="197">
        <v>0.49</v>
      </c>
      <c r="X80" s="203">
        <v>0.49</v>
      </c>
      <c r="Y80" s="197"/>
      <c r="Z80" s="197"/>
      <c r="AA80" s="197"/>
      <c r="AB80" s="10"/>
      <c r="AC80" s="10"/>
      <c r="AD80" s="10"/>
      <c r="AE80" s="10"/>
      <c r="AF80" s="10"/>
      <c r="AG80" s="8"/>
      <c r="AH80" s="8"/>
      <c r="AI80" s="8"/>
      <c r="AJ80" s="8"/>
      <c r="AK80" s="8"/>
      <c r="AL80" s="8"/>
      <c r="AM80" s="8"/>
      <c r="AN80" s="8"/>
      <c r="AO80" s="8"/>
      <c r="AP80" s="8"/>
      <c r="AQ80" s="8"/>
      <c r="AR80" s="8"/>
      <c r="AS80" s="8"/>
      <c r="AT80" s="8"/>
      <c r="AU80" s="8"/>
      <c r="AV80" s="8"/>
      <c r="AW80" s="8"/>
      <c r="AX80" s="8"/>
      <c r="AY80" s="8"/>
      <c r="AZ80" s="8"/>
    </row>
    <row r="81" spans="1:52" hidden="1">
      <c r="A81" s="891"/>
      <c r="B81" s="890"/>
      <c r="C81" s="890"/>
      <c r="D81" s="895"/>
      <c r="E81" s="890"/>
      <c r="F81" s="789" t="s">
        <v>273</v>
      </c>
      <c r="G81" s="162">
        <v>2013</v>
      </c>
      <c r="H81" s="202"/>
      <c r="I81" s="197">
        <v>0.36</v>
      </c>
      <c r="J81" s="197">
        <v>0.36</v>
      </c>
      <c r="K81" s="197">
        <v>0.36</v>
      </c>
      <c r="L81" s="197">
        <v>0.36</v>
      </c>
      <c r="M81" s="197">
        <v>0.36</v>
      </c>
      <c r="N81" s="197">
        <v>0.36</v>
      </c>
      <c r="O81" s="197">
        <v>0.36</v>
      </c>
      <c r="P81" s="197">
        <v>0.36</v>
      </c>
      <c r="Q81" s="197">
        <v>0.36</v>
      </c>
      <c r="R81" s="197">
        <v>0.36</v>
      </c>
      <c r="S81" s="197">
        <v>0.36</v>
      </c>
      <c r="T81" s="197">
        <v>0.36</v>
      </c>
      <c r="U81" s="197">
        <v>0.36</v>
      </c>
      <c r="V81" s="197">
        <v>0.36</v>
      </c>
      <c r="W81" s="197">
        <v>0.36</v>
      </c>
      <c r="X81" s="203">
        <v>0.36</v>
      </c>
      <c r="Y81" s="197"/>
      <c r="Z81" s="197"/>
      <c r="AA81" s="197"/>
      <c r="AB81" s="10"/>
      <c r="AC81" s="10"/>
      <c r="AD81" s="10"/>
      <c r="AE81" s="10"/>
      <c r="AF81" s="10"/>
      <c r="AG81" s="8"/>
      <c r="AH81" s="8"/>
      <c r="AI81" s="8"/>
      <c r="AJ81" s="8"/>
      <c r="AK81" s="8"/>
      <c r="AL81" s="8"/>
      <c r="AM81" s="8"/>
      <c r="AN81" s="8"/>
      <c r="AO81" s="8"/>
      <c r="AP81" s="8"/>
      <c r="AQ81" s="8"/>
      <c r="AR81" s="8"/>
      <c r="AS81" s="8"/>
      <c r="AT81" s="8"/>
      <c r="AU81" s="8"/>
      <c r="AV81" s="8"/>
      <c r="AW81" s="8"/>
      <c r="AX81" s="8"/>
      <c r="AY81" s="8"/>
      <c r="AZ81" s="8"/>
    </row>
    <row r="82" spans="1:52" hidden="1">
      <c r="A82" s="891"/>
      <c r="B82" s="890"/>
      <c r="C82" s="890"/>
      <c r="D82" s="896"/>
      <c r="E82" s="890"/>
      <c r="F82" s="789" t="s">
        <v>275</v>
      </c>
      <c r="G82" s="162">
        <v>2025</v>
      </c>
      <c r="H82" s="204"/>
      <c r="I82" s="205">
        <v>0.36</v>
      </c>
      <c r="J82" s="205">
        <v>0.36</v>
      </c>
      <c r="K82" s="205">
        <v>0.36</v>
      </c>
      <c r="L82" s="205">
        <v>0.36</v>
      </c>
      <c r="M82" s="205">
        <v>0.36</v>
      </c>
      <c r="N82" s="205">
        <v>0.36</v>
      </c>
      <c r="O82" s="205">
        <v>0.36</v>
      </c>
      <c r="P82" s="205">
        <v>0.36</v>
      </c>
      <c r="Q82" s="205">
        <v>0.36</v>
      </c>
      <c r="R82" s="205">
        <v>0.36</v>
      </c>
      <c r="S82" s="205">
        <v>0.36</v>
      </c>
      <c r="T82" s="205">
        <v>0.36</v>
      </c>
      <c r="U82" s="205">
        <v>0.36</v>
      </c>
      <c r="V82" s="205">
        <v>0.36</v>
      </c>
      <c r="W82" s="205">
        <v>0.36</v>
      </c>
      <c r="X82" s="206">
        <v>0.36</v>
      </c>
      <c r="Y82" s="197"/>
      <c r="Z82" s="197"/>
      <c r="AA82" s="197"/>
      <c r="AB82" s="10"/>
      <c r="AC82" s="10"/>
      <c r="AD82" s="10"/>
      <c r="AE82" s="10"/>
      <c r="AF82" s="10"/>
      <c r="AG82" s="8"/>
      <c r="AH82" s="8"/>
      <c r="AI82" s="8"/>
      <c r="AJ82" s="8"/>
      <c r="AK82" s="8"/>
      <c r="AL82" s="8"/>
      <c r="AM82" s="8"/>
      <c r="AN82" s="8"/>
      <c r="AO82" s="8"/>
      <c r="AP82" s="8"/>
      <c r="AQ82" s="8"/>
      <c r="AR82" s="8"/>
      <c r="AS82" s="8"/>
      <c r="AT82" s="8"/>
      <c r="AU82" s="8"/>
      <c r="AV82" s="8"/>
      <c r="AW82" s="8"/>
      <c r="AX82" s="8"/>
      <c r="AY82" s="8"/>
      <c r="AZ82" s="8"/>
    </row>
    <row r="83" spans="1:52" ht="13.9" hidden="1" customHeight="1">
      <c r="A83" s="891"/>
      <c r="B83" s="890" t="s">
        <v>55</v>
      </c>
      <c r="C83" s="891" t="s">
        <v>331</v>
      </c>
      <c r="D83" s="892"/>
      <c r="E83" s="890" t="s">
        <v>300</v>
      </c>
      <c r="F83" s="789" t="s">
        <v>265</v>
      </c>
      <c r="G83" s="789" t="s">
        <v>266</v>
      </c>
      <c r="H83" s="199"/>
      <c r="I83" s="200"/>
      <c r="J83" s="200"/>
      <c r="K83" s="200"/>
      <c r="L83" s="200"/>
      <c r="M83" s="200"/>
      <c r="N83" s="200"/>
      <c r="O83" s="200"/>
      <c r="P83" s="200"/>
      <c r="Q83" s="200"/>
      <c r="R83" s="200"/>
      <c r="S83" s="200"/>
      <c r="T83" s="200"/>
      <c r="U83" s="200"/>
      <c r="V83" s="200"/>
      <c r="W83" s="200"/>
      <c r="X83" s="201"/>
      <c r="Y83" s="197"/>
      <c r="Z83" s="197"/>
      <c r="AA83" s="197"/>
      <c r="AB83" s="10"/>
      <c r="AC83" s="10"/>
      <c r="AD83" s="10"/>
      <c r="AE83" s="10"/>
      <c r="AF83" s="10"/>
      <c r="AG83" s="8"/>
      <c r="AH83" s="8"/>
      <c r="AI83" s="8"/>
      <c r="AJ83" s="8"/>
      <c r="AK83" s="8"/>
      <c r="AL83" s="8"/>
      <c r="AM83" s="8"/>
      <c r="AN83" s="8"/>
      <c r="AO83" s="8"/>
      <c r="AP83" s="8"/>
      <c r="AQ83" s="8"/>
      <c r="AR83" s="8"/>
      <c r="AS83" s="8"/>
      <c r="AT83" s="8"/>
      <c r="AU83" s="8"/>
      <c r="AV83" s="8"/>
      <c r="AW83" s="8"/>
      <c r="AX83" s="8"/>
      <c r="AY83" s="8"/>
      <c r="AZ83" s="8"/>
    </row>
    <row r="84" spans="1:52" hidden="1">
      <c r="A84" s="891"/>
      <c r="B84" s="890"/>
      <c r="C84" s="890"/>
      <c r="D84" s="893"/>
      <c r="E84" s="890"/>
      <c r="F84" s="789" t="s">
        <v>268</v>
      </c>
      <c r="G84" s="789">
        <v>1984</v>
      </c>
      <c r="H84" s="202"/>
      <c r="I84" s="197"/>
      <c r="J84" s="197"/>
      <c r="K84" s="197"/>
      <c r="L84" s="197"/>
      <c r="M84" s="197"/>
      <c r="N84" s="197"/>
      <c r="O84" s="197"/>
      <c r="P84" s="197"/>
      <c r="Q84" s="197"/>
      <c r="R84" s="197"/>
      <c r="S84" s="197"/>
      <c r="T84" s="197"/>
      <c r="U84" s="197"/>
      <c r="V84" s="197"/>
      <c r="W84" s="197"/>
      <c r="X84" s="203"/>
      <c r="Y84" s="197"/>
      <c r="Z84" s="197"/>
      <c r="AA84" s="197"/>
      <c r="AB84" s="10"/>
      <c r="AC84" s="10"/>
      <c r="AD84" s="10"/>
      <c r="AE84" s="10"/>
      <c r="AF84" s="10"/>
      <c r="AG84" s="8"/>
      <c r="AH84" s="8"/>
      <c r="AI84" s="8"/>
      <c r="AJ84" s="8"/>
      <c r="AK84" s="8"/>
      <c r="AL84" s="8"/>
      <c r="AM84" s="8"/>
      <c r="AN84" s="8"/>
      <c r="AO84" s="8"/>
      <c r="AP84" s="8"/>
      <c r="AQ84" s="8"/>
      <c r="AR84" s="8"/>
      <c r="AS84" s="8"/>
      <c r="AT84" s="8"/>
      <c r="AU84" s="8"/>
      <c r="AV84" s="8"/>
      <c r="AW84" s="8"/>
      <c r="AX84" s="8"/>
      <c r="AY84" s="8"/>
      <c r="AZ84" s="8"/>
    </row>
    <row r="85" spans="1:52" ht="30" hidden="1" customHeight="1">
      <c r="A85" s="891"/>
      <c r="B85" s="890"/>
      <c r="C85" s="890"/>
      <c r="D85" s="894"/>
      <c r="E85" s="890"/>
      <c r="F85" s="790" t="s">
        <v>271</v>
      </c>
      <c r="G85" s="790">
        <v>2001</v>
      </c>
      <c r="H85" s="207" t="s">
        <v>332</v>
      </c>
      <c r="I85" s="197">
        <f t="shared" ref="I85:X85" si="19">0.5*I121+0.5*I123</f>
        <v>0.38500000000000001</v>
      </c>
      <c r="J85" s="197">
        <f t="shared" si="19"/>
        <v>0.33</v>
      </c>
      <c r="K85" s="197">
        <f t="shared" si="19"/>
        <v>0.435</v>
      </c>
      <c r="L85" s="197">
        <f t="shared" si="19"/>
        <v>0.435</v>
      </c>
      <c r="M85" s="197">
        <f t="shared" si="19"/>
        <v>0.435</v>
      </c>
      <c r="N85" s="197">
        <f t="shared" si="19"/>
        <v>0.45999999999999996</v>
      </c>
      <c r="O85" s="197">
        <f t="shared" si="19"/>
        <v>0.45999999999999996</v>
      </c>
      <c r="P85" s="197">
        <f t="shared" si="19"/>
        <v>0.45999999999999996</v>
      </c>
      <c r="Q85" s="197">
        <f t="shared" si="19"/>
        <v>0.45999999999999996</v>
      </c>
      <c r="R85" s="197">
        <f t="shared" si="19"/>
        <v>0.33</v>
      </c>
      <c r="S85" s="197">
        <f t="shared" si="19"/>
        <v>0.33</v>
      </c>
      <c r="T85" s="197">
        <f t="shared" si="19"/>
        <v>0.33</v>
      </c>
      <c r="U85" s="197">
        <f t="shared" si="19"/>
        <v>0.33</v>
      </c>
      <c r="V85" s="197">
        <f t="shared" si="19"/>
        <v>0.34499999999999997</v>
      </c>
      <c r="W85" s="197">
        <f t="shared" si="19"/>
        <v>0.34499999999999997</v>
      </c>
      <c r="X85" s="203">
        <f t="shared" si="19"/>
        <v>0.38500000000000001</v>
      </c>
      <c r="Y85" s="197"/>
      <c r="Z85" s="197"/>
      <c r="AA85" s="197"/>
      <c r="AB85" s="10"/>
      <c r="AC85" s="10"/>
      <c r="AD85" s="10"/>
      <c r="AE85" s="10"/>
      <c r="AF85" s="10"/>
      <c r="AG85" s="8"/>
      <c r="AH85" s="8"/>
      <c r="AI85" s="8"/>
      <c r="AJ85" s="8"/>
      <c r="AK85" s="8"/>
      <c r="AL85" s="8"/>
      <c r="AM85" s="8"/>
      <c r="AN85" s="8"/>
      <c r="AO85" s="8"/>
      <c r="AP85" s="8"/>
      <c r="AQ85" s="8"/>
      <c r="AR85" s="8"/>
      <c r="AS85" s="8"/>
      <c r="AT85" s="8"/>
      <c r="AU85" s="8"/>
      <c r="AV85" s="8"/>
      <c r="AW85" s="8"/>
      <c r="AX85" s="8"/>
      <c r="AY85" s="8"/>
      <c r="AZ85" s="8"/>
    </row>
    <row r="86" spans="1:52" hidden="1">
      <c r="A86" s="891"/>
      <c r="B86" s="890"/>
      <c r="C86" s="890"/>
      <c r="D86" s="895"/>
      <c r="E86" s="890"/>
      <c r="F86" s="789" t="s">
        <v>273</v>
      </c>
      <c r="G86" s="789">
        <v>2013</v>
      </c>
      <c r="H86" s="202"/>
      <c r="I86" s="197">
        <v>0.25</v>
      </c>
      <c r="J86" s="197">
        <v>0.25</v>
      </c>
      <c r="K86" s="197">
        <v>0.25</v>
      </c>
      <c r="L86" s="197">
        <v>0.25</v>
      </c>
      <c r="M86" s="197">
        <v>0.25</v>
      </c>
      <c r="N86" s="197">
        <v>0.25</v>
      </c>
      <c r="O86" s="197">
        <v>0.25</v>
      </c>
      <c r="P86" s="197">
        <v>0.25</v>
      </c>
      <c r="Q86" s="197">
        <v>0.25</v>
      </c>
      <c r="R86" s="197">
        <v>0.25</v>
      </c>
      <c r="S86" s="197">
        <v>0.25</v>
      </c>
      <c r="T86" s="197">
        <v>0.25</v>
      </c>
      <c r="U86" s="197">
        <v>0.25</v>
      </c>
      <c r="V86" s="197">
        <v>0.25</v>
      </c>
      <c r="W86" s="197">
        <v>0.25</v>
      </c>
      <c r="X86" s="203">
        <v>0.25</v>
      </c>
      <c r="Y86" s="197"/>
      <c r="Z86" s="197"/>
      <c r="AA86" s="197"/>
      <c r="AB86" s="10"/>
      <c r="AC86" s="10"/>
      <c r="AD86" s="10"/>
      <c r="AE86" s="10"/>
      <c r="AF86" s="10"/>
      <c r="AG86" s="8"/>
      <c r="AH86" s="8"/>
      <c r="AI86" s="8"/>
      <c r="AJ86" s="8"/>
      <c r="AK86" s="8"/>
      <c r="AL86" s="8"/>
      <c r="AM86" s="8"/>
      <c r="AN86" s="8"/>
      <c r="AO86" s="8"/>
      <c r="AP86" s="8"/>
      <c r="AQ86" s="8"/>
      <c r="AR86" s="8"/>
      <c r="AS86" s="8"/>
      <c r="AT86" s="8"/>
      <c r="AU86" s="8"/>
      <c r="AV86" s="8"/>
      <c r="AW86" s="8"/>
      <c r="AX86" s="8"/>
      <c r="AY86" s="8"/>
      <c r="AZ86" s="8"/>
    </row>
    <row r="87" spans="1:52" hidden="1">
      <c r="A87" s="891"/>
      <c r="B87" s="890"/>
      <c r="C87" s="890"/>
      <c r="D87" s="896"/>
      <c r="E87" s="890"/>
      <c r="F87" s="789" t="s">
        <v>275</v>
      </c>
      <c r="G87" s="789">
        <v>2025</v>
      </c>
      <c r="H87" s="204"/>
      <c r="I87" s="205">
        <v>0.25</v>
      </c>
      <c r="J87" s="205">
        <v>0.25</v>
      </c>
      <c r="K87" s="205">
        <v>0.25</v>
      </c>
      <c r="L87" s="205">
        <v>0.25</v>
      </c>
      <c r="M87" s="205">
        <v>0.25</v>
      </c>
      <c r="N87" s="205">
        <v>0.25</v>
      </c>
      <c r="O87" s="205">
        <v>0.25</v>
      </c>
      <c r="P87" s="205">
        <v>0.25</v>
      </c>
      <c r="Q87" s="205">
        <v>0.25</v>
      </c>
      <c r="R87" s="205">
        <v>0.25</v>
      </c>
      <c r="S87" s="205">
        <v>0.25</v>
      </c>
      <c r="T87" s="205">
        <v>0.25</v>
      </c>
      <c r="U87" s="205">
        <v>0.25</v>
      </c>
      <c r="V87" s="205">
        <v>0.25</v>
      </c>
      <c r="W87" s="205">
        <v>0.25</v>
      </c>
      <c r="X87" s="206">
        <v>0.25</v>
      </c>
      <c r="Y87" s="197"/>
      <c r="Z87" s="197"/>
      <c r="AA87" s="197"/>
      <c r="AB87" s="10"/>
      <c r="AC87" s="10"/>
      <c r="AD87" s="10"/>
      <c r="AE87" s="10"/>
      <c r="AF87" s="10"/>
      <c r="AG87" s="8"/>
      <c r="AH87" s="8"/>
      <c r="AI87" s="8"/>
      <c r="AJ87" s="8"/>
      <c r="AK87" s="8"/>
      <c r="AL87" s="8"/>
      <c r="AM87" s="8"/>
      <c r="AN87" s="8"/>
      <c r="AO87" s="8"/>
      <c r="AP87" s="8"/>
      <c r="AQ87" s="8"/>
      <c r="AR87" s="8"/>
      <c r="AS87" s="8"/>
      <c r="AT87" s="8"/>
      <c r="AU87" s="8"/>
      <c r="AV87" s="8"/>
      <c r="AW87" s="8"/>
      <c r="AX87" s="8"/>
      <c r="AY87" s="8"/>
      <c r="AZ87" s="8"/>
    </row>
    <row r="88" spans="1:52" ht="13.9" hidden="1" customHeight="1">
      <c r="A88" s="890" t="s">
        <v>333</v>
      </c>
      <c r="B88" s="890" t="s">
        <v>55</v>
      </c>
      <c r="C88" s="891" t="s">
        <v>331</v>
      </c>
      <c r="D88" s="892"/>
      <c r="E88" s="894" t="s">
        <v>326</v>
      </c>
      <c r="F88" s="789" t="s">
        <v>265</v>
      </c>
      <c r="G88" s="789" t="s">
        <v>266</v>
      </c>
      <c r="H88" s="199"/>
      <c r="I88" s="200"/>
      <c r="J88" s="200"/>
      <c r="K88" s="200"/>
      <c r="L88" s="200"/>
      <c r="M88" s="200"/>
      <c r="N88" s="200"/>
      <c r="O88" s="200"/>
      <c r="P88" s="200"/>
      <c r="Q88" s="200"/>
      <c r="R88" s="200"/>
      <c r="S88" s="200"/>
      <c r="T88" s="200"/>
      <c r="U88" s="200"/>
      <c r="V88" s="200"/>
      <c r="W88" s="200"/>
      <c r="X88" s="201"/>
      <c r="Y88" s="197"/>
      <c r="Z88" s="197"/>
      <c r="AA88" s="197"/>
      <c r="AB88" s="10"/>
      <c r="AC88" s="10"/>
      <c r="AD88" s="10"/>
      <c r="AE88" s="10"/>
      <c r="AF88" s="10"/>
      <c r="AG88" s="8"/>
      <c r="AH88" s="8"/>
      <c r="AI88" s="8"/>
      <c r="AJ88" s="8"/>
      <c r="AK88" s="8"/>
      <c r="AL88" s="8"/>
      <c r="AM88" s="8"/>
      <c r="AN88" s="8"/>
      <c r="AO88" s="8"/>
      <c r="AP88" s="8"/>
      <c r="AQ88" s="8"/>
      <c r="AR88" s="8"/>
      <c r="AS88" s="8"/>
      <c r="AT88" s="8"/>
      <c r="AU88" s="8"/>
      <c r="AV88" s="8"/>
      <c r="AW88" s="8"/>
      <c r="AX88" s="8"/>
      <c r="AY88" s="8"/>
      <c r="AZ88" s="8"/>
    </row>
    <row r="89" spans="1:52" hidden="1">
      <c r="A89" s="895"/>
      <c r="B89" s="890"/>
      <c r="C89" s="890"/>
      <c r="D89" s="893"/>
      <c r="E89" s="895"/>
      <c r="F89" s="789" t="s">
        <v>268</v>
      </c>
      <c r="G89" s="789">
        <v>1984</v>
      </c>
      <c r="H89" s="202"/>
      <c r="I89" s="197"/>
      <c r="J89" s="197"/>
      <c r="K89" s="197"/>
      <c r="L89" s="197"/>
      <c r="M89" s="197"/>
      <c r="N89" s="197"/>
      <c r="O89" s="197"/>
      <c r="P89" s="197"/>
      <c r="Q89" s="197"/>
      <c r="R89" s="197"/>
      <c r="S89" s="197"/>
      <c r="T89" s="197"/>
      <c r="U89" s="197"/>
      <c r="V89" s="197"/>
      <c r="W89" s="197"/>
      <c r="X89" s="203"/>
      <c r="Y89" s="197"/>
      <c r="Z89" s="197"/>
      <c r="AA89" s="197"/>
      <c r="AB89" s="10"/>
      <c r="AC89" s="10"/>
      <c r="AD89" s="10"/>
      <c r="AE89" s="10"/>
      <c r="AF89" s="10"/>
      <c r="AG89" s="8"/>
      <c r="AH89" s="8"/>
      <c r="AI89" s="8"/>
      <c r="AJ89" s="8"/>
      <c r="AK89" s="8"/>
      <c r="AL89" s="8"/>
      <c r="AM89" s="8"/>
      <c r="AN89" s="8"/>
      <c r="AO89" s="8"/>
      <c r="AP89" s="8"/>
      <c r="AQ89" s="8"/>
      <c r="AR89" s="8"/>
      <c r="AS89" s="8"/>
      <c r="AT89" s="8"/>
      <c r="AU89" s="8"/>
      <c r="AV89" s="8"/>
      <c r="AW89" s="8"/>
      <c r="AX89" s="8"/>
      <c r="AY89" s="8"/>
      <c r="AZ89" s="8"/>
    </row>
    <row r="90" spans="1:52" hidden="1">
      <c r="A90" s="895"/>
      <c r="B90" s="890"/>
      <c r="C90" s="890"/>
      <c r="D90" s="894"/>
      <c r="E90" s="895"/>
      <c r="F90" s="789" t="s">
        <v>271</v>
      </c>
      <c r="G90" s="789">
        <v>2001</v>
      </c>
      <c r="H90" s="202"/>
      <c r="I90" s="197">
        <v>0.49</v>
      </c>
      <c r="J90" s="197">
        <v>0.49</v>
      </c>
      <c r="K90" s="197">
        <v>0.81</v>
      </c>
      <c r="L90" s="197">
        <v>0.81</v>
      </c>
      <c r="M90" s="197">
        <v>0.81</v>
      </c>
      <c r="N90" s="197">
        <v>0.81</v>
      </c>
      <c r="O90" s="197">
        <v>0.81</v>
      </c>
      <c r="P90" s="197">
        <v>0.81</v>
      </c>
      <c r="Q90" s="197">
        <v>0.81</v>
      </c>
      <c r="R90" s="197">
        <v>0.49</v>
      </c>
      <c r="S90" s="197">
        <v>0.49</v>
      </c>
      <c r="T90" s="197">
        <v>0.49</v>
      </c>
      <c r="U90" s="197">
        <v>0.49</v>
      </c>
      <c r="V90" s="197">
        <v>0.49</v>
      </c>
      <c r="W90" s="197">
        <v>0.49</v>
      </c>
      <c r="X90" s="203">
        <v>0.49</v>
      </c>
      <c r="Y90" s="197"/>
      <c r="Z90" s="197"/>
      <c r="AA90" s="197"/>
      <c r="AB90" s="10"/>
      <c r="AC90" s="10"/>
      <c r="AD90" s="10"/>
      <c r="AE90" s="10"/>
      <c r="AF90" s="10"/>
      <c r="AG90" s="8"/>
      <c r="AH90" s="8"/>
      <c r="AI90" s="8"/>
      <c r="AJ90" s="8"/>
      <c r="AK90" s="8"/>
      <c r="AL90" s="8"/>
      <c r="AM90" s="8"/>
      <c r="AN90" s="8"/>
      <c r="AO90" s="8"/>
      <c r="AP90" s="8"/>
      <c r="AQ90" s="8"/>
      <c r="AR90" s="8"/>
      <c r="AS90" s="8"/>
      <c r="AT90" s="8"/>
      <c r="AU90" s="8"/>
      <c r="AV90" s="8"/>
      <c r="AW90" s="8"/>
      <c r="AX90" s="8"/>
      <c r="AY90" s="8"/>
      <c r="AZ90" s="8"/>
    </row>
    <row r="91" spans="1:52" hidden="1">
      <c r="A91" s="895"/>
      <c r="B91" s="890"/>
      <c r="C91" s="890"/>
      <c r="D91" s="895"/>
      <c r="E91" s="895"/>
      <c r="F91" s="789" t="s">
        <v>273</v>
      </c>
      <c r="G91" s="789">
        <v>2013</v>
      </c>
      <c r="H91" s="202"/>
      <c r="I91" s="197">
        <v>0.36</v>
      </c>
      <c r="J91" s="197">
        <v>0.36</v>
      </c>
      <c r="K91" s="197">
        <v>0.36</v>
      </c>
      <c r="L91" s="197">
        <v>0.36</v>
      </c>
      <c r="M91" s="197">
        <v>0.36</v>
      </c>
      <c r="N91" s="197">
        <v>0.36</v>
      </c>
      <c r="O91" s="197">
        <v>0.36</v>
      </c>
      <c r="P91" s="197">
        <v>0.36</v>
      </c>
      <c r="Q91" s="197">
        <v>0.36</v>
      </c>
      <c r="R91" s="197">
        <v>0.36</v>
      </c>
      <c r="S91" s="197">
        <v>0.36</v>
      </c>
      <c r="T91" s="197">
        <v>0.36</v>
      </c>
      <c r="U91" s="197">
        <v>0.36</v>
      </c>
      <c r="V91" s="197">
        <v>0.36</v>
      </c>
      <c r="W91" s="197">
        <v>0.36</v>
      </c>
      <c r="X91" s="203">
        <v>0.36</v>
      </c>
      <c r="Y91" s="197"/>
      <c r="Z91" s="197"/>
      <c r="AA91" s="197"/>
      <c r="AB91" s="10"/>
      <c r="AC91" s="10"/>
      <c r="AD91" s="10"/>
      <c r="AE91" s="10"/>
      <c r="AF91" s="10"/>
      <c r="AG91" s="8"/>
      <c r="AH91" s="8"/>
      <c r="AI91" s="8"/>
      <c r="AJ91" s="8"/>
      <c r="AK91" s="8"/>
      <c r="AL91" s="8"/>
      <c r="AM91" s="8"/>
      <c r="AN91" s="8"/>
      <c r="AO91" s="8"/>
      <c r="AP91" s="8"/>
      <c r="AQ91" s="8"/>
      <c r="AR91" s="8"/>
      <c r="AS91" s="8"/>
      <c r="AT91" s="8"/>
      <c r="AU91" s="8"/>
      <c r="AV91" s="8"/>
      <c r="AW91" s="8"/>
      <c r="AX91" s="8"/>
      <c r="AY91" s="8"/>
      <c r="AZ91" s="8"/>
    </row>
    <row r="92" spans="1:52" hidden="1">
      <c r="A92" s="895"/>
      <c r="B92" s="890"/>
      <c r="C92" s="890"/>
      <c r="D92" s="896"/>
      <c r="E92" s="896"/>
      <c r="F92" s="789" t="s">
        <v>275</v>
      </c>
      <c r="G92" s="789">
        <v>2025</v>
      </c>
      <c r="H92" s="204"/>
      <c r="I92" s="205">
        <v>0.36</v>
      </c>
      <c r="J92" s="205">
        <v>0.36</v>
      </c>
      <c r="K92" s="205">
        <v>0.36</v>
      </c>
      <c r="L92" s="205">
        <v>0.36</v>
      </c>
      <c r="M92" s="205">
        <v>0.36</v>
      </c>
      <c r="N92" s="205">
        <v>0.36</v>
      </c>
      <c r="O92" s="205">
        <v>0.36</v>
      </c>
      <c r="P92" s="205">
        <v>0.36</v>
      </c>
      <c r="Q92" s="205">
        <v>0.34</v>
      </c>
      <c r="R92" s="205">
        <v>0.36</v>
      </c>
      <c r="S92" s="205">
        <v>0.34</v>
      </c>
      <c r="T92" s="205">
        <v>0.34</v>
      </c>
      <c r="U92" s="205">
        <v>0.34</v>
      </c>
      <c r="V92" s="205">
        <v>0.34</v>
      </c>
      <c r="W92" s="205">
        <v>0.34</v>
      </c>
      <c r="X92" s="206">
        <v>0.36</v>
      </c>
      <c r="Y92" s="197"/>
      <c r="Z92" s="197"/>
      <c r="AA92" s="197"/>
      <c r="AB92" s="10"/>
      <c r="AC92" s="10"/>
      <c r="AD92" s="10"/>
      <c r="AE92" s="10"/>
      <c r="AF92" s="10"/>
      <c r="AG92" s="8"/>
      <c r="AH92" s="8"/>
      <c r="AI92" s="8"/>
      <c r="AJ92" s="8"/>
      <c r="AK92" s="8"/>
      <c r="AL92" s="8"/>
      <c r="AM92" s="8"/>
      <c r="AN92" s="8"/>
      <c r="AO92" s="8"/>
      <c r="AP92" s="8"/>
      <c r="AQ92" s="8"/>
      <c r="AR92" s="8"/>
      <c r="AS92" s="8"/>
      <c r="AT92" s="8"/>
      <c r="AU92" s="8"/>
      <c r="AV92" s="8"/>
      <c r="AW92" s="8"/>
      <c r="AX92" s="8"/>
      <c r="AY92" s="8"/>
      <c r="AZ92" s="8"/>
    </row>
    <row r="93" spans="1:52" ht="13.9" hidden="1" customHeight="1">
      <c r="A93" s="895"/>
      <c r="B93" s="890" t="s">
        <v>55</v>
      </c>
      <c r="C93" s="892" t="s">
        <v>331</v>
      </c>
      <c r="D93" s="892"/>
      <c r="E93" s="890" t="s">
        <v>300</v>
      </c>
      <c r="F93" s="789" t="s">
        <v>265</v>
      </c>
      <c r="G93" s="789" t="s">
        <v>266</v>
      </c>
      <c r="H93" s="199"/>
      <c r="I93" s="200"/>
      <c r="J93" s="200"/>
      <c r="K93" s="200"/>
      <c r="L93" s="200"/>
      <c r="M93" s="200"/>
      <c r="N93" s="200"/>
      <c r="O93" s="200"/>
      <c r="P93" s="200"/>
      <c r="Q93" s="200"/>
      <c r="R93" s="200"/>
      <c r="S93" s="200"/>
      <c r="T93" s="200"/>
      <c r="U93" s="200"/>
      <c r="V93" s="200"/>
      <c r="W93" s="200"/>
      <c r="X93" s="201"/>
      <c r="Y93" s="197"/>
      <c r="Z93" s="197"/>
      <c r="AA93" s="197"/>
      <c r="AB93" s="10"/>
      <c r="AC93" s="10"/>
      <c r="AD93" s="10"/>
      <c r="AE93" s="10"/>
      <c r="AF93" s="10"/>
      <c r="AG93" s="8"/>
      <c r="AH93" s="8"/>
      <c r="AI93" s="8"/>
      <c r="AJ93" s="8"/>
      <c r="AK93" s="8"/>
      <c r="AL93" s="8"/>
      <c r="AM93" s="8"/>
      <c r="AN93" s="8"/>
      <c r="AO93" s="8"/>
      <c r="AP93" s="8"/>
      <c r="AQ93" s="8"/>
      <c r="AR93" s="8"/>
      <c r="AS93" s="8"/>
      <c r="AT93" s="8"/>
      <c r="AU93" s="8"/>
      <c r="AV93" s="8"/>
      <c r="AW93" s="8"/>
      <c r="AX93" s="8"/>
      <c r="AY93" s="8"/>
      <c r="AZ93" s="8"/>
    </row>
    <row r="94" spans="1:52" hidden="1">
      <c r="A94" s="895"/>
      <c r="B94" s="890"/>
      <c r="C94" s="897"/>
      <c r="D94" s="893"/>
      <c r="E94" s="890"/>
      <c r="F94" s="789" t="s">
        <v>268</v>
      </c>
      <c r="G94" s="789">
        <v>1984</v>
      </c>
      <c r="H94" s="202"/>
      <c r="I94" s="197"/>
      <c r="J94" s="197"/>
      <c r="K94" s="197"/>
      <c r="L94" s="197"/>
      <c r="M94" s="197"/>
      <c r="N94" s="197"/>
      <c r="O94" s="197"/>
      <c r="P94" s="197"/>
      <c r="Q94" s="197"/>
      <c r="R94" s="197"/>
      <c r="S94" s="197"/>
      <c r="T94" s="197"/>
      <c r="U94" s="197"/>
      <c r="V94" s="197"/>
      <c r="W94" s="197"/>
      <c r="X94" s="203"/>
      <c r="Y94" s="197"/>
      <c r="Z94" s="197"/>
      <c r="AA94" s="197"/>
      <c r="AB94" s="10"/>
      <c r="AC94" s="10"/>
      <c r="AD94" s="10"/>
      <c r="AE94" s="10"/>
      <c r="AF94" s="10"/>
      <c r="AG94" s="8"/>
      <c r="AH94" s="8"/>
      <c r="AI94" s="8"/>
      <c r="AJ94" s="8"/>
      <c r="AK94" s="8"/>
      <c r="AL94" s="8"/>
      <c r="AM94" s="8"/>
      <c r="AN94" s="8"/>
      <c r="AO94" s="8"/>
      <c r="AP94" s="8"/>
      <c r="AQ94" s="8"/>
      <c r="AR94" s="8"/>
      <c r="AS94" s="8"/>
      <c r="AT94" s="8"/>
      <c r="AU94" s="8"/>
      <c r="AV94" s="8"/>
      <c r="AW94" s="8"/>
      <c r="AX94" s="8"/>
      <c r="AY94" s="8"/>
      <c r="AZ94" s="8"/>
    </row>
    <row r="95" spans="1:52" hidden="1">
      <c r="A95" s="895"/>
      <c r="B95" s="890"/>
      <c r="C95" s="897"/>
      <c r="D95" s="894"/>
      <c r="E95" s="890"/>
      <c r="F95" s="790" t="s">
        <v>271</v>
      </c>
      <c r="G95" s="790">
        <v>2001</v>
      </c>
      <c r="H95" s="202"/>
      <c r="I95" s="197">
        <f>0.5*I125+0.5*I127</f>
        <v>0.44999999999999996</v>
      </c>
      <c r="J95" s="197">
        <f t="shared" ref="J95:X95" si="20">0.5*J125+0.5*J127</f>
        <v>0.39</v>
      </c>
      <c r="K95" s="197">
        <f t="shared" si="20"/>
        <v>0.51</v>
      </c>
      <c r="L95" s="197">
        <f t="shared" si="20"/>
        <v>0.51</v>
      </c>
      <c r="M95" s="197">
        <f t="shared" si="20"/>
        <v>0.51</v>
      </c>
      <c r="N95" s="197">
        <f t="shared" si="20"/>
        <v>0.47499999999999998</v>
      </c>
      <c r="O95" s="197">
        <f t="shared" si="20"/>
        <v>0.47499999999999998</v>
      </c>
      <c r="P95" s="197">
        <f t="shared" si="20"/>
        <v>0.47499999999999998</v>
      </c>
      <c r="Q95" s="197">
        <f t="shared" si="20"/>
        <v>0.47499999999999998</v>
      </c>
      <c r="R95" s="197">
        <f t="shared" si="20"/>
        <v>0.39</v>
      </c>
      <c r="S95" s="197">
        <f t="shared" si="20"/>
        <v>0.39</v>
      </c>
      <c r="T95" s="197">
        <f t="shared" si="20"/>
        <v>0.39</v>
      </c>
      <c r="U95" s="197">
        <f t="shared" si="20"/>
        <v>0.39</v>
      </c>
      <c r="V95" s="197">
        <f t="shared" si="20"/>
        <v>0.39</v>
      </c>
      <c r="W95" s="197">
        <f t="shared" si="20"/>
        <v>0.39</v>
      </c>
      <c r="X95" s="203">
        <f t="shared" si="20"/>
        <v>0.44999999999999996</v>
      </c>
      <c r="Y95" s="197"/>
      <c r="Z95" s="197"/>
      <c r="AA95" s="197"/>
      <c r="AB95" s="10"/>
      <c r="AC95" s="10"/>
      <c r="AD95" s="10"/>
      <c r="AE95" s="10"/>
      <c r="AF95" s="10"/>
      <c r="AG95" s="8"/>
      <c r="AH95" s="8"/>
      <c r="AI95" s="8"/>
      <c r="AJ95" s="8"/>
      <c r="AK95" s="8"/>
      <c r="AL95" s="8"/>
      <c r="AM95" s="8"/>
      <c r="AN95" s="8"/>
      <c r="AO95" s="8"/>
      <c r="AP95" s="8"/>
      <c r="AQ95" s="8"/>
      <c r="AR95" s="8"/>
      <c r="AS95" s="8"/>
      <c r="AT95" s="8"/>
      <c r="AU95" s="8"/>
      <c r="AV95" s="8"/>
      <c r="AW95" s="8"/>
      <c r="AX95" s="8"/>
      <c r="AY95" s="8"/>
      <c r="AZ95" s="8"/>
    </row>
    <row r="96" spans="1:52" hidden="1">
      <c r="A96" s="895"/>
      <c r="B96" s="890"/>
      <c r="C96" s="897"/>
      <c r="D96" s="895"/>
      <c r="E96" s="890"/>
      <c r="F96" s="789" t="s">
        <v>273</v>
      </c>
      <c r="G96" s="789">
        <v>2013</v>
      </c>
      <c r="H96" s="202"/>
      <c r="I96" s="197">
        <v>0.25</v>
      </c>
      <c r="J96" s="197">
        <v>0.25</v>
      </c>
      <c r="K96" s="197">
        <v>0.25</v>
      </c>
      <c r="L96" s="197">
        <v>0.25</v>
      </c>
      <c r="M96" s="197">
        <v>0.25</v>
      </c>
      <c r="N96" s="197">
        <v>0.25</v>
      </c>
      <c r="O96" s="197">
        <v>0.25</v>
      </c>
      <c r="P96" s="197">
        <v>0.25</v>
      </c>
      <c r="Q96" s="197">
        <v>0.25</v>
      </c>
      <c r="R96" s="197">
        <v>0.25</v>
      </c>
      <c r="S96" s="197">
        <v>0.25</v>
      </c>
      <c r="T96" s="197">
        <v>0.25</v>
      </c>
      <c r="U96" s="197">
        <v>0.25</v>
      </c>
      <c r="V96" s="197">
        <v>0.25</v>
      </c>
      <c r="W96" s="197">
        <v>0.25</v>
      </c>
      <c r="X96" s="203">
        <v>0.25</v>
      </c>
      <c r="Y96" s="197"/>
      <c r="Z96" s="197"/>
      <c r="AA96" s="197"/>
      <c r="AB96" s="10"/>
      <c r="AC96" s="10"/>
      <c r="AD96" s="10"/>
      <c r="AE96" s="10"/>
      <c r="AF96" s="10"/>
      <c r="AG96" s="8"/>
      <c r="AH96" s="8"/>
      <c r="AI96" s="8"/>
      <c r="AJ96" s="8"/>
      <c r="AK96" s="8"/>
      <c r="AL96" s="8"/>
      <c r="AM96" s="8"/>
      <c r="AN96" s="8"/>
      <c r="AO96" s="8"/>
      <c r="AP96" s="8"/>
      <c r="AQ96" s="8"/>
      <c r="AR96" s="8"/>
      <c r="AS96" s="8"/>
      <c r="AT96" s="8"/>
      <c r="AU96" s="8"/>
      <c r="AV96" s="8"/>
      <c r="AW96" s="8"/>
      <c r="AX96" s="8"/>
      <c r="AY96" s="8"/>
      <c r="AZ96" s="8"/>
    </row>
    <row r="97" spans="1:64" hidden="1">
      <c r="A97" s="896"/>
      <c r="B97" s="890"/>
      <c r="C97" s="893"/>
      <c r="D97" s="896"/>
      <c r="E97" s="890"/>
      <c r="F97" s="789" t="s">
        <v>275</v>
      </c>
      <c r="G97" s="789">
        <v>2025</v>
      </c>
      <c r="H97" s="204"/>
      <c r="I97" s="205">
        <v>0.25</v>
      </c>
      <c r="J97" s="205">
        <v>0.25</v>
      </c>
      <c r="K97" s="205">
        <v>0.25</v>
      </c>
      <c r="L97" s="205">
        <v>0.25</v>
      </c>
      <c r="M97" s="205">
        <v>0.25</v>
      </c>
      <c r="N97" s="205">
        <v>0.25</v>
      </c>
      <c r="O97" s="205">
        <v>0.25</v>
      </c>
      <c r="P97" s="205">
        <v>0.25</v>
      </c>
      <c r="Q97" s="205">
        <v>0.22</v>
      </c>
      <c r="R97" s="205">
        <v>0.25</v>
      </c>
      <c r="S97" s="205">
        <v>0.22</v>
      </c>
      <c r="T97" s="205">
        <v>0.22</v>
      </c>
      <c r="U97" s="205">
        <v>0.22</v>
      </c>
      <c r="V97" s="205">
        <v>0.22</v>
      </c>
      <c r="W97" s="205">
        <v>0.22</v>
      </c>
      <c r="X97" s="206">
        <v>0.25</v>
      </c>
      <c r="Y97" s="197"/>
      <c r="Z97" s="197"/>
      <c r="AA97" s="197"/>
      <c r="AB97" s="10"/>
      <c r="AC97" s="10"/>
      <c r="AD97" s="10"/>
      <c r="AE97" s="10"/>
      <c r="AF97" s="10"/>
      <c r="AG97" s="8"/>
      <c r="AH97" s="8"/>
      <c r="AI97" s="8"/>
      <c r="AJ97" s="8"/>
      <c r="AK97" s="8"/>
      <c r="AL97" s="8"/>
      <c r="AM97" s="8"/>
      <c r="AN97" s="8"/>
      <c r="AO97" s="8"/>
      <c r="AP97" s="8"/>
      <c r="AQ97" s="8"/>
      <c r="AR97" s="8"/>
      <c r="AS97" s="8"/>
      <c r="AT97" s="8"/>
      <c r="AU97" s="8"/>
      <c r="AV97" s="8"/>
      <c r="AW97" s="8"/>
      <c r="AX97" s="8"/>
      <c r="AY97" s="8"/>
      <c r="AZ97" s="8"/>
      <c r="BA97" s="8"/>
      <c r="BB97" s="8"/>
      <c r="BC97" s="8"/>
      <c r="BD97" s="8"/>
      <c r="BE97" s="8"/>
      <c r="BF97" s="8"/>
      <c r="BG97" s="8"/>
      <c r="BH97" s="8"/>
      <c r="BI97" s="8"/>
      <c r="BJ97" s="8"/>
      <c r="BK97" s="8"/>
      <c r="BL97" s="8"/>
    </row>
    <row r="98" spans="1:64" ht="13.9" hidden="1" customHeight="1">
      <c r="A98" s="892" t="s">
        <v>330</v>
      </c>
      <c r="B98" s="890" t="s">
        <v>55</v>
      </c>
      <c r="C98" s="892" t="s">
        <v>334</v>
      </c>
      <c r="D98" s="892"/>
      <c r="E98" s="890" t="s">
        <v>326</v>
      </c>
      <c r="F98" s="789" t="s">
        <v>265</v>
      </c>
      <c r="G98" s="789" t="s">
        <v>266</v>
      </c>
      <c r="H98" s="199"/>
      <c r="I98" s="200"/>
      <c r="J98" s="200"/>
      <c r="K98" s="200"/>
      <c r="L98" s="200"/>
      <c r="M98" s="200"/>
      <c r="N98" s="200"/>
      <c r="O98" s="200"/>
      <c r="P98" s="200"/>
      <c r="Q98" s="200"/>
      <c r="R98" s="200"/>
      <c r="S98" s="200"/>
      <c r="T98" s="200"/>
      <c r="U98" s="200"/>
      <c r="V98" s="200"/>
      <c r="W98" s="200"/>
      <c r="X98" s="201"/>
      <c r="Y98" s="197"/>
      <c r="Z98" s="197"/>
      <c r="AA98" s="197"/>
      <c r="AB98" s="10"/>
      <c r="AC98" s="10"/>
      <c r="AD98" s="10"/>
      <c r="AE98" s="10"/>
      <c r="AF98" s="10"/>
      <c r="AG98" s="8"/>
      <c r="AH98" s="8"/>
      <c r="AI98" s="8"/>
      <c r="AJ98" s="8"/>
      <c r="AK98" s="8"/>
      <c r="AL98" s="8"/>
      <c r="AM98" s="8"/>
      <c r="AN98" s="8"/>
      <c r="AO98" s="8"/>
      <c r="AP98" s="8"/>
      <c r="AQ98" s="8"/>
      <c r="AR98" s="8"/>
      <c r="AS98" s="8"/>
      <c r="AT98" s="8"/>
      <c r="AU98" s="8"/>
      <c r="AV98" s="8"/>
      <c r="AW98" s="8"/>
      <c r="AX98" s="8"/>
      <c r="AY98" s="8"/>
      <c r="AZ98" s="8"/>
      <c r="BA98" s="8"/>
      <c r="BB98" s="8"/>
      <c r="BC98" s="8"/>
      <c r="BD98" s="8"/>
      <c r="BE98" s="8"/>
      <c r="BF98" s="8"/>
      <c r="BG98" s="8"/>
      <c r="BH98" s="8"/>
      <c r="BI98" s="8"/>
      <c r="BJ98" s="8"/>
      <c r="BK98" s="8"/>
      <c r="BL98" s="8"/>
    </row>
    <row r="99" spans="1:64" ht="13.9" hidden="1" customHeight="1">
      <c r="A99" s="897"/>
      <c r="B99" s="890"/>
      <c r="C99" s="897"/>
      <c r="D99" s="893"/>
      <c r="E99" s="890"/>
      <c r="F99" s="789" t="s">
        <v>268</v>
      </c>
      <c r="G99" s="789">
        <v>1984</v>
      </c>
      <c r="H99" s="202"/>
      <c r="I99" s="197"/>
      <c r="J99" s="197"/>
      <c r="K99" s="197"/>
      <c r="L99" s="197"/>
      <c r="M99" s="197"/>
      <c r="N99" s="197"/>
      <c r="O99" s="197"/>
      <c r="P99" s="197"/>
      <c r="Q99" s="197"/>
      <c r="R99" s="197"/>
      <c r="S99" s="197"/>
      <c r="T99" s="197"/>
      <c r="U99" s="197"/>
      <c r="V99" s="197"/>
      <c r="W99" s="197"/>
      <c r="X99" s="203"/>
      <c r="Y99" s="197"/>
      <c r="Z99" s="197"/>
      <c r="AA99" s="197"/>
      <c r="AB99" s="10"/>
      <c r="AC99" s="10"/>
      <c r="AD99" s="10"/>
      <c r="AE99" s="10"/>
      <c r="AF99" s="10"/>
      <c r="AG99" s="8"/>
      <c r="AH99" s="8"/>
      <c r="AI99" s="8"/>
      <c r="AJ99" s="8"/>
      <c r="AK99" s="8"/>
      <c r="AL99" s="8"/>
      <c r="AM99" s="8"/>
      <c r="AN99" s="8"/>
      <c r="AO99" s="8"/>
      <c r="AP99" s="8"/>
      <c r="AQ99" s="8"/>
      <c r="AR99" s="8"/>
      <c r="AS99" s="8"/>
      <c r="AT99" s="8"/>
      <c r="AU99" s="8"/>
      <c r="AV99" s="8"/>
      <c r="AW99" s="8"/>
      <c r="AX99" s="8"/>
      <c r="AY99" s="8"/>
      <c r="AZ99" s="8"/>
      <c r="BA99" s="8"/>
      <c r="BB99" s="8"/>
      <c r="BC99" s="8"/>
      <c r="BD99" s="8"/>
      <c r="BE99" s="8"/>
      <c r="BF99" s="8"/>
      <c r="BG99" s="8"/>
      <c r="BH99" s="8"/>
      <c r="BI99" s="8"/>
      <c r="BJ99" s="8"/>
      <c r="BK99" s="8"/>
      <c r="BL99" s="8"/>
    </row>
    <row r="100" spans="1:64" ht="13.9" hidden="1" customHeight="1">
      <c r="A100" s="897"/>
      <c r="B100" s="890"/>
      <c r="C100" s="897"/>
      <c r="D100" s="894"/>
      <c r="E100" s="890"/>
      <c r="F100" s="789" t="s">
        <v>271</v>
      </c>
      <c r="G100" s="789">
        <v>2001</v>
      </c>
      <c r="H100" s="202"/>
      <c r="I100" s="197">
        <f>I80</f>
        <v>0.49</v>
      </c>
      <c r="J100" s="197">
        <f t="shared" ref="J100:X100" si="21">J80</f>
        <v>0.49</v>
      </c>
      <c r="K100" s="197">
        <f t="shared" si="21"/>
        <v>0.49</v>
      </c>
      <c r="L100" s="197">
        <f t="shared" si="21"/>
        <v>0.49</v>
      </c>
      <c r="M100" s="197">
        <f t="shared" si="21"/>
        <v>0.49</v>
      </c>
      <c r="N100" s="197">
        <f t="shared" si="21"/>
        <v>0.49</v>
      </c>
      <c r="O100" s="197">
        <f t="shared" si="21"/>
        <v>0.49</v>
      </c>
      <c r="P100" s="197">
        <f t="shared" si="21"/>
        <v>0.49</v>
      </c>
      <c r="Q100" s="197">
        <f t="shared" si="21"/>
        <v>0.49</v>
      </c>
      <c r="R100" s="197">
        <f t="shared" si="21"/>
        <v>0.49</v>
      </c>
      <c r="S100" s="197">
        <f t="shared" si="21"/>
        <v>0.49</v>
      </c>
      <c r="T100" s="197">
        <f t="shared" si="21"/>
        <v>0.49</v>
      </c>
      <c r="U100" s="197">
        <f t="shared" si="21"/>
        <v>0.49</v>
      </c>
      <c r="V100" s="197">
        <f t="shared" si="21"/>
        <v>0.49</v>
      </c>
      <c r="W100" s="197">
        <f t="shared" si="21"/>
        <v>0.49</v>
      </c>
      <c r="X100" s="203">
        <f t="shared" si="21"/>
        <v>0.49</v>
      </c>
      <c r="Y100" s="197"/>
      <c r="Z100" s="197"/>
      <c r="AA100" s="197"/>
      <c r="AB100" s="10"/>
      <c r="AC100" s="10"/>
      <c r="AD100" s="10"/>
      <c r="AE100" s="10"/>
      <c r="AF100" s="10"/>
      <c r="AG100" s="8"/>
      <c r="AH100" s="8"/>
      <c r="AI100" s="8"/>
      <c r="AJ100" s="8"/>
      <c r="AK100" s="8"/>
      <c r="AL100" s="8"/>
      <c r="AM100" s="8"/>
      <c r="AN100" s="8"/>
      <c r="AO100" s="8"/>
      <c r="AP100" s="8"/>
      <c r="AQ100" s="8"/>
      <c r="AR100" s="8"/>
      <c r="AS100" s="8"/>
      <c r="AT100" s="8"/>
      <c r="AU100" s="8"/>
      <c r="AV100" s="8"/>
      <c r="AW100" s="8"/>
      <c r="AX100" s="8"/>
      <c r="AY100" s="8"/>
      <c r="AZ100" s="8"/>
      <c r="BA100" s="8"/>
      <c r="BB100" s="8"/>
      <c r="BC100" s="8"/>
      <c r="BD100" s="8"/>
      <c r="BE100" s="8"/>
      <c r="BF100" s="8"/>
      <c r="BG100" s="8"/>
      <c r="BH100" s="8"/>
      <c r="BI100" s="8"/>
      <c r="BJ100" s="8"/>
      <c r="BK100" s="8"/>
      <c r="BL100" s="8"/>
    </row>
    <row r="101" spans="1:64" ht="13.9" hidden="1" customHeight="1">
      <c r="A101" s="897"/>
      <c r="B101" s="890"/>
      <c r="C101" s="897"/>
      <c r="D101" s="895"/>
      <c r="E101" s="890"/>
      <c r="F101" s="789" t="s">
        <v>273</v>
      </c>
      <c r="G101" s="789">
        <v>2013</v>
      </c>
      <c r="H101" s="202"/>
      <c r="I101" s="197">
        <v>0.46</v>
      </c>
      <c r="J101" s="197">
        <v>0.46</v>
      </c>
      <c r="K101" s="197">
        <v>0.46</v>
      </c>
      <c r="L101" s="197">
        <v>0.46</v>
      </c>
      <c r="M101" s="197">
        <v>0.46</v>
      </c>
      <c r="N101" s="197">
        <v>0.46</v>
      </c>
      <c r="O101" s="197">
        <v>0.46</v>
      </c>
      <c r="P101" s="197">
        <v>0.46</v>
      </c>
      <c r="Q101" s="197">
        <v>0.46</v>
      </c>
      <c r="R101" s="197">
        <v>0.46</v>
      </c>
      <c r="S101" s="197">
        <v>0.46</v>
      </c>
      <c r="T101" s="197">
        <v>0.46</v>
      </c>
      <c r="U101" s="197">
        <v>0.46</v>
      </c>
      <c r="V101" s="197">
        <v>0.46</v>
      </c>
      <c r="W101" s="197">
        <v>0.46</v>
      </c>
      <c r="X101" s="203">
        <v>0.46</v>
      </c>
      <c r="Y101" s="197"/>
      <c r="Z101" s="197"/>
      <c r="AA101" s="197"/>
      <c r="AB101" s="10"/>
      <c r="AC101" s="10"/>
      <c r="AD101" s="10"/>
      <c r="AE101" s="10"/>
      <c r="AF101" s="10"/>
      <c r="AG101" s="8"/>
      <c r="AH101" s="8"/>
      <c r="AI101" s="8"/>
      <c r="AJ101" s="8"/>
      <c r="AK101" s="8"/>
      <c r="AL101" s="8"/>
      <c r="AM101" s="8"/>
      <c r="AN101" s="8"/>
      <c r="AO101" s="8"/>
      <c r="AP101" s="8"/>
      <c r="AQ101" s="8"/>
      <c r="AR101" s="8"/>
      <c r="AS101" s="8"/>
      <c r="AT101" s="8"/>
      <c r="AU101" s="8"/>
      <c r="AV101" s="8"/>
      <c r="AW101" s="8"/>
      <c r="AX101" s="8"/>
      <c r="AY101" s="8"/>
      <c r="AZ101" s="8"/>
      <c r="BA101" s="8"/>
      <c r="BB101" s="8"/>
      <c r="BC101" s="8"/>
      <c r="BD101" s="8"/>
      <c r="BE101" s="8"/>
      <c r="BF101" s="8"/>
      <c r="BG101" s="8"/>
      <c r="BH101" s="8"/>
      <c r="BI101" s="8"/>
      <c r="BJ101" s="8"/>
      <c r="BK101" s="8"/>
      <c r="BL101" s="8"/>
    </row>
    <row r="102" spans="1:64" ht="13.9" hidden="1" customHeight="1">
      <c r="A102" s="897"/>
      <c r="B102" s="890"/>
      <c r="C102" s="893"/>
      <c r="D102" s="896"/>
      <c r="E102" s="890"/>
      <c r="F102" s="789" t="s">
        <v>275</v>
      </c>
      <c r="G102" s="789">
        <v>2025</v>
      </c>
      <c r="H102" s="204"/>
      <c r="I102" s="205">
        <v>0.46</v>
      </c>
      <c r="J102" s="205">
        <v>0.46</v>
      </c>
      <c r="K102" s="205">
        <v>0.46</v>
      </c>
      <c r="L102" s="205">
        <v>0.46</v>
      </c>
      <c r="M102" s="205">
        <v>0.46</v>
      </c>
      <c r="N102" s="205">
        <v>0.46</v>
      </c>
      <c r="O102" s="205">
        <v>0.46</v>
      </c>
      <c r="P102" s="205">
        <v>0.46</v>
      </c>
      <c r="Q102" s="205">
        <v>0.46</v>
      </c>
      <c r="R102" s="205">
        <v>0.46</v>
      </c>
      <c r="S102" s="205">
        <v>0.46</v>
      </c>
      <c r="T102" s="205">
        <v>0.46</v>
      </c>
      <c r="U102" s="205">
        <v>0.46</v>
      </c>
      <c r="V102" s="205">
        <v>0.46</v>
      </c>
      <c r="W102" s="205">
        <v>0.46</v>
      </c>
      <c r="X102" s="206">
        <v>0.46</v>
      </c>
      <c r="Y102" s="197"/>
      <c r="Z102" s="197"/>
      <c r="AA102" s="197"/>
      <c r="AB102" s="10"/>
      <c r="AC102" s="10"/>
      <c r="AD102" s="10"/>
      <c r="AE102" s="10"/>
      <c r="AF102" s="10"/>
      <c r="AG102" s="8"/>
      <c r="AH102" s="8"/>
      <c r="AI102" s="8"/>
      <c r="AJ102" s="8"/>
      <c r="AK102" s="8"/>
      <c r="AL102" s="8"/>
      <c r="AM102" s="8"/>
      <c r="AN102" s="8"/>
      <c r="AO102" s="8"/>
      <c r="AP102" s="8"/>
      <c r="AQ102" s="8"/>
      <c r="AR102" s="8"/>
      <c r="AS102" s="8"/>
      <c r="AT102" s="8"/>
      <c r="AU102" s="8"/>
      <c r="AV102" s="8"/>
      <c r="AW102" s="8"/>
      <c r="AX102" s="8"/>
      <c r="AY102" s="8"/>
      <c r="AZ102" s="8"/>
      <c r="BA102" s="8"/>
      <c r="BB102" s="8"/>
      <c r="BC102" s="8"/>
      <c r="BD102" s="8"/>
      <c r="BE102" s="8"/>
      <c r="BF102" s="8"/>
      <c r="BG102" s="8"/>
      <c r="BH102" s="8"/>
      <c r="BI102" s="8"/>
      <c r="BJ102" s="8"/>
      <c r="BK102" s="8"/>
      <c r="BL102" s="8"/>
    </row>
    <row r="103" spans="1:64" ht="13.9" hidden="1" customHeight="1">
      <c r="A103" s="897"/>
      <c r="B103" s="890" t="s">
        <v>55</v>
      </c>
      <c r="C103" s="892" t="s">
        <v>334</v>
      </c>
      <c r="D103" s="892"/>
      <c r="E103" s="890" t="s">
        <v>300</v>
      </c>
      <c r="F103" s="789" t="s">
        <v>265</v>
      </c>
      <c r="G103" s="789" t="s">
        <v>266</v>
      </c>
      <c r="H103" s="199"/>
      <c r="I103" s="200"/>
      <c r="J103" s="200"/>
      <c r="K103" s="200"/>
      <c r="L103" s="200"/>
      <c r="M103" s="200"/>
      <c r="N103" s="200"/>
      <c r="O103" s="200"/>
      <c r="P103" s="200"/>
      <c r="Q103" s="200"/>
      <c r="R103" s="200"/>
      <c r="S103" s="200"/>
      <c r="T103" s="200"/>
      <c r="U103" s="200"/>
      <c r="V103" s="200"/>
      <c r="W103" s="200"/>
      <c r="X103" s="201"/>
      <c r="Y103" s="197"/>
      <c r="Z103" s="197"/>
      <c r="AA103" s="197"/>
      <c r="AB103" s="10"/>
      <c r="AC103" s="10"/>
      <c r="AD103" s="10"/>
      <c r="AE103" s="10"/>
      <c r="AF103" s="10"/>
      <c r="AG103" s="8"/>
      <c r="AH103" s="8"/>
      <c r="AI103" s="8"/>
      <c r="AJ103" s="8"/>
      <c r="AK103" s="8"/>
      <c r="AL103" s="8"/>
      <c r="AM103" s="8"/>
      <c r="AN103" s="8"/>
      <c r="AO103" s="8"/>
      <c r="AP103" s="8"/>
      <c r="AQ103" s="8"/>
      <c r="AR103" s="8"/>
      <c r="AS103" s="8"/>
      <c r="AT103" s="8"/>
      <c r="AU103" s="8"/>
      <c r="AV103" s="8"/>
      <c r="AW103" s="8"/>
      <c r="AX103" s="8"/>
      <c r="AY103" s="8"/>
      <c r="AZ103" s="8"/>
      <c r="BA103" s="8"/>
      <c r="BB103" s="8"/>
      <c r="BC103" s="8"/>
      <c r="BD103" s="8"/>
      <c r="BE103" s="8"/>
      <c r="BF103" s="8"/>
      <c r="BG103" s="8"/>
      <c r="BH103" s="8"/>
      <c r="BI103" s="8"/>
      <c r="BJ103" s="8"/>
      <c r="BK103" s="8"/>
      <c r="BL103" s="8"/>
    </row>
    <row r="104" spans="1:64" ht="13.9" hidden="1" customHeight="1">
      <c r="A104" s="897"/>
      <c r="B104" s="890"/>
      <c r="C104" s="897"/>
      <c r="D104" s="893"/>
      <c r="E104" s="890"/>
      <c r="F104" s="789" t="s">
        <v>268</v>
      </c>
      <c r="G104" s="789">
        <v>1984</v>
      </c>
      <c r="H104" s="202"/>
      <c r="I104" s="197"/>
      <c r="J104" s="197"/>
      <c r="K104" s="197"/>
      <c r="L104" s="197"/>
      <c r="M104" s="197"/>
      <c r="N104" s="197"/>
      <c r="O104" s="197"/>
      <c r="P104" s="197"/>
      <c r="Q104" s="197"/>
      <c r="R104" s="197"/>
      <c r="S104" s="197"/>
      <c r="T104" s="197"/>
      <c r="U104" s="197"/>
      <c r="V104" s="197"/>
      <c r="W104" s="197"/>
      <c r="X104" s="203"/>
      <c r="Y104" s="197"/>
      <c r="Z104" s="197"/>
      <c r="AA104" s="197"/>
      <c r="AB104" s="10"/>
      <c r="AC104" s="10"/>
      <c r="AD104" s="10"/>
      <c r="AE104" s="10"/>
      <c r="AF104" s="10"/>
      <c r="AG104" s="8"/>
      <c r="AH104" s="8"/>
      <c r="AI104" s="8"/>
      <c r="AJ104" s="8"/>
      <c r="AK104" s="8"/>
      <c r="AL104" s="8"/>
      <c r="AM104" s="8"/>
      <c r="AN104" s="8"/>
      <c r="AO104" s="8"/>
      <c r="AP104" s="8"/>
      <c r="AQ104" s="8"/>
      <c r="AR104" s="8"/>
      <c r="AS104" s="8"/>
      <c r="AT104" s="8"/>
      <c r="AU104" s="8"/>
      <c r="AV104" s="8"/>
      <c r="AW104" s="8"/>
      <c r="AX104" s="8"/>
      <c r="AY104" s="8"/>
      <c r="AZ104" s="8"/>
      <c r="BA104" s="8"/>
      <c r="BB104" s="8"/>
      <c r="BC104" s="8"/>
      <c r="BD104" s="8"/>
      <c r="BE104" s="8"/>
      <c r="BF104" s="8"/>
      <c r="BG104" s="8"/>
      <c r="BH104" s="8"/>
      <c r="BI104" s="8"/>
      <c r="BJ104" s="8"/>
      <c r="BK104" s="8"/>
      <c r="BL104" s="8"/>
    </row>
    <row r="105" spans="1:64" ht="27.6" hidden="1" customHeight="1">
      <c r="A105" s="897"/>
      <c r="B105" s="890"/>
      <c r="C105" s="897"/>
      <c r="D105" s="894"/>
      <c r="E105" s="890"/>
      <c r="F105" s="790" t="s">
        <v>271</v>
      </c>
      <c r="G105" s="790">
        <v>2001</v>
      </c>
      <c r="H105" s="207" t="s">
        <v>335</v>
      </c>
      <c r="I105" s="197">
        <f t="shared" ref="I105:X105" si="22">I85</f>
        <v>0.38500000000000001</v>
      </c>
      <c r="J105" s="197">
        <f t="shared" si="22"/>
        <v>0.33</v>
      </c>
      <c r="K105" s="197">
        <f t="shared" si="22"/>
        <v>0.435</v>
      </c>
      <c r="L105" s="197">
        <f t="shared" si="22"/>
        <v>0.435</v>
      </c>
      <c r="M105" s="197">
        <f t="shared" si="22"/>
        <v>0.435</v>
      </c>
      <c r="N105" s="197">
        <f t="shared" si="22"/>
        <v>0.45999999999999996</v>
      </c>
      <c r="O105" s="197">
        <f t="shared" si="22"/>
        <v>0.45999999999999996</v>
      </c>
      <c r="P105" s="197">
        <f t="shared" si="22"/>
        <v>0.45999999999999996</v>
      </c>
      <c r="Q105" s="197">
        <f t="shared" si="22"/>
        <v>0.45999999999999996</v>
      </c>
      <c r="R105" s="197">
        <f t="shared" si="22"/>
        <v>0.33</v>
      </c>
      <c r="S105" s="197">
        <f t="shared" si="22"/>
        <v>0.33</v>
      </c>
      <c r="T105" s="197">
        <f t="shared" si="22"/>
        <v>0.33</v>
      </c>
      <c r="U105" s="197">
        <f t="shared" si="22"/>
        <v>0.33</v>
      </c>
      <c r="V105" s="197">
        <f t="shared" si="22"/>
        <v>0.34499999999999997</v>
      </c>
      <c r="W105" s="197">
        <f t="shared" si="22"/>
        <v>0.34499999999999997</v>
      </c>
      <c r="X105" s="203">
        <f t="shared" si="22"/>
        <v>0.38500000000000001</v>
      </c>
      <c r="Y105" s="197"/>
      <c r="Z105" s="197"/>
      <c r="AA105" s="197"/>
      <c r="AB105" s="10"/>
      <c r="AC105" s="10"/>
      <c r="AD105" s="10"/>
      <c r="AE105" s="10"/>
      <c r="AF105" s="10"/>
      <c r="AG105" s="8"/>
      <c r="AH105" s="8"/>
      <c r="AI105" s="8"/>
      <c r="AJ105" s="8"/>
      <c r="AK105" s="8"/>
      <c r="AL105" s="8"/>
      <c r="AM105" s="8"/>
      <c r="AN105" s="8"/>
      <c r="AO105" s="8"/>
      <c r="AP105" s="8"/>
      <c r="AQ105" s="8"/>
      <c r="AR105" s="8"/>
      <c r="AS105" s="8"/>
      <c r="AT105" s="8"/>
      <c r="AU105" s="8"/>
      <c r="AV105" s="8"/>
      <c r="AW105" s="8"/>
      <c r="AX105" s="8"/>
      <c r="AY105" s="8"/>
      <c r="AZ105" s="8"/>
      <c r="BA105" s="8"/>
      <c r="BB105" s="8"/>
      <c r="BC105" s="8"/>
      <c r="BD105" s="8"/>
      <c r="BE105" s="8"/>
      <c r="BF105" s="8"/>
      <c r="BG105" s="8"/>
      <c r="BH105" s="8"/>
      <c r="BI105" s="8"/>
      <c r="BJ105" s="8"/>
      <c r="BK105" s="8"/>
      <c r="BL105" s="8"/>
    </row>
    <row r="106" spans="1:64" ht="14.45" hidden="1" customHeight="1">
      <c r="A106" s="897"/>
      <c r="B106" s="890"/>
      <c r="C106" s="897"/>
      <c r="D106" s="895"/>
      <c r="E106" s="890"/>
      <c r="F106" s="789" t="s">
        <v>273</v>
      </c>
      <c r="G106" s="789">
        <v>2013</v>
      </c>
      <c r="H106" s="202"/>
      <c r="I106" s="197">
        <v>0.22</v>
      </c>
      <c r="J106" s="197">
        <v>0.22</v>
      </c>
      <c r="K106" s="197">
        <v>0.22</v>
      </c>
      <c r="L106" s="197">
        <v>0.22</v>
      </c>
      <c r="M106" s="197">
        <v>0.22</v>
      </c>
      <c r="N106" s="197">
        <v>0.22</v>
      </c>
      <c r="O106" s="197">
        <v>0.22</v>
      </c>
      <c r="P106" s="197">
        <v>0.22</v>
      </c>
      <c r="Q106" s="197">
        <v>0.22</v>
      </c>
      <c r="R106" s="197">
        <v>0.22</v>
      </c>
      <c r="S106" s="197">
        <v>0.22</v>
      </c>
      <c r="T106" s="197">
        <v>0.22</v>
      </c>
      <c r="U106" s="197">
        <v>0.22</v>
      </c>
      <c r="V106" s="197">
        <v>0.22</v>
      </c>
      <c r="W106" s="197">
        <v>0.22</v>
      </c>
      <c r="X106" s="203">
        <v>0.22</v>
      </c>
      <c r="Y106" s="197"/>
      <c r="Z106" s="197"/>
      <c r="AA106" s="197"/>
      <c r="AB106" s="10"/>
      <c r="AC106" s="10"/>
      <c r="AD106" s="10"/>
      <c r="AE106" s="10"/>
      <c r="AF106" s="10"/>
      <c r="AG106" s="8"/>
      <c r="AH106" s="8"/>
      <c r="AI106" s="8"/>
      <c r="AJ106" s="8"/>
      <c r="AK106" s="8"/>
      <c r="AL106" s="8"/>
      <c r="AM106" s="8"/>
      <c r="AN106" s="8"/>
      <c r="AO106" s="8"/>
      <c r="AP106" s="8"/>
      <c r="AQ106" s="8"/>
      <c r="AR106" s="8"/>
      <c r="AS106" s="8"/>
      <c r="AT106" s="8"/>
      <c r="AU106" s="8"/>
      <c r="AV106" s="8"/>
      <c r="AW106" s="8"/>
      <c r="AX106" s="8"/>
      <c r="AY106" s="8"/>
      <c r="AZ106" s="8"/>
      <c r="BA106" s="8"/>
      <c r="BB106" s="8"/>
      <c r="BC106" s="8"/>
      <c r="BD106" s="8"/>
      <c r="BE106" s="8"/>
      <c r="BF106" s="8"/>
      <c r="BG106" s="8"/>
      <c r="BH106" s="8"/>
      <c r="BI106" s="8"/>
      <c r="BJ106" s="8"/>
      <c r="BK106" s="8"/>
      <c r="BL106" s="8"/>
    </row>
    <row r="107" spans="1:64" ht="14.45" hidden="1" customHeight="1">
      <c r="A107" s="893"/>
      <c r="B107" s="890"/>
      <c r="C107" s="893"/>
      <c r="D107" s="896"/>
      <c r="E107" s="890"/>
      <c r="F107" s="789" t="s">
        <v>275</v>
      </c>
      <c r="G107" s="789">
        <v>2025</v>
      </c>
      <c r="H107" s="204"/>
      <c r="I107" s="205">
        <v>0.22</v>
      </c>
      <c r="J107" s="205">
        <v>0.22</v>
      </c>
      <c r="K107" s="205">
        <v>0.22</v>
      </c>
      <c r="L107" s="205">
        <v>0.22</v>
      </c>
      <c r="M107" s="205">
        <v>0.22</v>
      </c>
      <c r="N107" s="205">
        <v>0.22</v>
      </c>
      <c r="O107" s="205">
        <v>0.22</v>
      </c>
      <c r="P107" s="205">
        <v>0.22</v>
      </c>
      <c r="Q107" s="205">
        <v>0.22</v>
      </c>
      <c r="R107" s="205">
        <v>0.22</v>
      </c>
      <c r="S107" s="205">
        <v>0.22</v>
      </c>
      <c r="T107" s="205">
        <v>0.22</v>
      </c>
      <c r="U107" s="205">
        <v>0.22</v>
      </c>
      <c r="V107" s="205">
        <v>0.22</v>
      </c>
      <c r="W107" s="205">
        <v>0.22</v>
      </c>
      <c r="X107" s="206">
        <v>0.22</v>
      </c>
      <c r="Y107" s="197"/>
      <c r="Z107" s="197"/>
      <c r="AA107" s="197"/>
      <c r="AB107" s="10"/>
      <c r="AC107" s="10"/>
      <c r="AD107" s="10"/>
      <c r="AE107" s="10"/>
      <c r="AF107" s="10"/>
      <c r="AG107" s="8"/>
      <c r="AH107" s="8"/>
      <c r="AI107" s="8"/>
      <c r="AJ107" s="8"/>
      <c r="AK107" s="8"/>
      <c r="AL107" s="8"/>
      <c r="AM107" s="8"/>
      <c r="AN107" s="8"/>
      <c r="AO107" s="8"/>
      <c r="AP107" s="8"/>
      <c r="AQ107" s="8"/>
      <c r="AR107" s="8"/>
      <c r="AS107" s="8"/>
      <c r="AT107" s="8"/>
      <c r="AU107" s="8"/>
      <c r="AV107" s="8"/>
      <c r="AW107" s="8"/>
      <c r="AX107" s="8"/>
      <c r="AY107" s="8"/>
      <c r="AZ107" s="8"/>
      <c r="BA107" s="8"/>
      <c r="BB107" s="8"/>
      <c r="BC107" s="8"/>
      <c r="BD107" s="8"/>
      <c r="BE107" s="8"/>
      <c r="BF107" s="8"/>
      <c r="BG107" s="8"/>
      <c r="BH107" s="8"/>
      <c r="BI107" s="8"/>
      <c r="BJ107" s="8"/>
      <c r="BK107" s="8"/>
      <c r="BL107" s="8"/>
    </row>
    <row r="108" spans="1:64" ht="14.45" hidden="1" customHeight="1">
      <c r="A108" s="890" t="s">
        <v>333</v>
      </c>
      <c r="B108" s="890" t="s">
        <v>55</v>
      </c>
      <c r="C108" s="891" t="s">
        <v>334</v>
      </c>
      <c r="D108" s="892"/>
      <c r="E108" s="890" t="s">
        <v>326</v>
      </c>
      <c r="F108" s="789" t="s">
        <v>265</v>
      </c>
      <c r="G108" s="789" t="s">
        <v>266</v>
      </c>
      <c r="H108" s="199"/>
      <c r="I108" s="200"/>
      <c r="J108" s="200"/>
      <c r="K108" s="200"/>
      <c r="L108" s="200"/>
      <c r="M108" s="200"/>
      <c r="N108" s="200"/>
      <c r="O108" s="200"/>
      <c r="P108" s="200"/>
      <c r="Q108" s="200"/>
      <c r="R108" s="200"/>
      <c r="S108" s="200"/>
      <c r="T108" s="200"/>
      <c r="U108" s="200"/>
      <c r="V108" s="200"/>
      <c r="W108" s="200"/>
      <c r="X108" s="201"/>
      <c r="Y108" s="197"/>
      <c r="Z108" s="197"/>
      <c r="AA108" s="197"/>
      <c r="AB108" s="10"/>
      <c r="AC108" s="10"/>
      <c r="AD108" s="10"/>
      <c r="AE108" s="10"/>
      <c r="AF108" s="10"/>
      <c r="AG108" s="8"/>
      <c r="AH108" s="8"/>
      <c r="AI108" s="8"/>
      <c r="AJ108" s="8"/>
      <c r="AK108" s="8"/>
      <c r="AL108" s="8"/>
      <c r="AM108" s="8"/>
      <c r="AN108" s="8"/>
      <c r="AO108" s="8"/>
      <c r="AP108" s="8"/>
      <c r="AQ108" s="8"/>
      <c r="AR108" s="8"/>
      <c r="AS108" s="8"/>
      <c r="AT108" s="8"/>
      <c r="AU108" s="8"/>
      <c r="AV108" s="8"/>
      <c r="AW108" s="8"/>
      <c r="AX108" s="8"/>
      <c r="AY108" s="8"/>
      <c r="AZ108" s="8"/>
      <c r="BA108" s="8"/>
      <c r="BB108" s="8"/>
      <c r="BC108" s="8"/>
      <c r="BD108" s="8"/>
      <c r="BE108" s="8"/>
      <c r="BF108" s="8"/>
      <c r="BG108" s="8"/>
      <c r="BH108" s="8"/>
      <c r="BI108" s="8"/>
      <c r="BJ108" s="8"/>
      <c r="BK108" s="8"/>
      <c r="BL108" s="8"/>
    </row>
    <row r="109" spans="1:64" hidden="1">
      <c r="A109" s="890"/>
      <c r="B109" s="890"/>
      <c r="C109" s="890"/>
      <c r="D109" s="893"/>
      <c r="E109" s="890"/>
      <c r="F109" s="789" t="s">
        <v>268</v>
      </c>
      <c r="G109" s="789">
        <v>1984</v>
      </c>
      <c r="H109" s="202"/>
      <c r="I109" s="197"/>
      <c r="J109" s="197"/>
      <c r="K109" s="197"/>
      <c r="L109" s="197"/>
      <c r="M109" s="197"/>
      <c r="N109" s="197"/>
      <c r="O109" s="197"/>
      <c r="P109" s="197"/>
      <c r="Q109" s="197"/>
      <c r="R109" s="197"/>
      <c r="S109" s="197"/>
      <c r="T109" s="197"/>
      <c r="U109" s="197"/>
      <c r="V109" s="197"/>
      <c r="W109" s="197"/>
      <c r="X109" s="203"/>
      <c r="Y109" s="197"/>
      <c r="Z109" s="197"/>
      <c r="AA109" s="197"/>
      <c r="AB109" s="10"/>
      <c r="AC109" s="10"/>
      <c r="AD109" s="10"/>
      <c r="AE109" s="10"/>
      <c r="AF109" s="10"/>
      <c r="AG109" s="8"/>
      <c r="AH109" s="8"/>
      <c r="AI109" s="8"/>
      <c r="AJ109" s="8"/>
      <c r="AK109" s="8"/>
      <c r="AL109" s="8"/>
      <c r="AM109" s="8"/>
      <c r="AN109" s="8"/>
      <c r="AO109" s="8"/>
      <c r="AP109" s="8"/>
      <c r="AQ109" s="8"/>
      <c r="AR109" s="8"/>
      <c r="AS109" s="8"/>
      <c r="AT109" s="8"/>
      <c r="AU109" s="8"/>
      <c r="AV109" s="8"/>
      <c r="AW109" s="8"/>
      <c r="AX109" s="8"/>
      <c r="AY109" s="8"/>
      <c r="AZ109" s="8"/>
      <c r="BA109" s="8"/>
      <c r="BB109" s="8"/>
      <c r="BC109" s="8"/>
      <c r="BD109" s="8"/>
      <c r="BE109" s="8"/>
      <c r="BF109" s="8"/>
      <c r="BG109" s="8"/>
      <c r="BH109" s="8"/>
      <c r="BI109" s="8"/>
      <c r="BJ109" s="8"/>
      <c r="BK109" s="8"/>
      <c r="BL109" s="8"/>
    </row>
    <row r="110" spans="1:64" ht="26.45" hidden="1">
      <c r="A110" s="890"/>
      <c r="B110" s="890"/>
      <c r="C110" s="890"/>
      <c r="D110" s="894"/>
      <c r="E110" s="890"/>
      <c r="F110" s="789" t="s">
        <v>271</v>
      </c>
      <c r="G110" s="789">
        <v>2001</v>
      </c>
      <c r="H110" s="207" t="s">
        <v>336</v>
      </c>
      <c r="I110" s="197">
        <v>0.49</v>
      </c>
      <c r="J110" s="197">
        <v>0.49</v>
      </c>
      <c r="K110" s="197">
        <v>0.81</v>
      </c>
      <c r="L110" s="197">
        <v>0.81</v>
      </c>
      <c r="M110" s="197">
        <v>0.81</v>
      </c>
      <c r="N110" s="197">
        <v>0.81</v>
      </c>
      <c r="O110" s="197">
        <v>0.81</v>
      </c>
      <c r="P110" s="197">
        <v>0.81</v>
      </c>
      <c r="Q110" s="197">
        <v>0.81</v>
      </c>
      <c r="R110" s="197">
        <v>0.49</v>
      </c>
      <c r="S110" s="197">
        <v>0.49</v>
      </c>
      <c r="T110" s="197">
        <v>0.49</v>
      </c>
      <c r="U110" s="197">
        <v>0.49</v>
      </c>
      <c r="V110" s="197">
        <v>0.49</v>
      </c>
      <c r="W110" s="197">
        <v>0.49</v>
      </c>
      <c r="X110" s="203">
        <v>0.49</v>
      </c>
      <c r="Y110" s="197"/>
      <c r="Z110" s="197"/>
      <c r="AA110" s="197"/>
      <c r="AB110" s="10"/>
      <c r="AC110" s="10"/>
      <c r="AD110" s="10"/>
      <c r="AE110" s="10"/>
      <c r="AF110" s="10"/>
      <c r="AG110" s="8"/>
      <c r="AH110" s="8"/>
      <c r="AI110" s="8"/>
      <c r="AJ110" s="8"/>
      <c r="AK110" s="8"/>
      <c r="AL110" s="8"/>
      <c r="AM110" s="8"/>
      <c r="AN110" s="8"/>
      <c r="AO110" s="8"/>
      <c r="AP110" s="8"/>
      <c r="AQ110" s="8"/>
      <c r="AR110" s="8"/>
      <c r="AS110" s="8"/>
      <c r="AT110" s="8"/>
      <c r="AU110" s="8"/>
      <c r="AV110" s="8"/>
      <c r="AW110" s="8"/>
      <c r="AX110" s="8"/>
      <c r="AY110" s="8"/>
      <c r="AZ110" s="8"/>
      <c r="BA110" s="8"/>
      <c r="BB110" s="8"/>
      <c r="BC110" s="8"/>
      <c r="BD110" s="8"/>
      <c r="BE110" s="8"/>
      <c r="BF110" s="8"/>
      <c r="BG110" s="8"/>
      <c r="BH110" s="8"/>
      <c r="BI110" s="8"/>
      <c r="BJ110" s="8"/>
      <c r="BK110" s="8"/>
      <c r="BL110" s="8"/>
    </row>
    <row r="111" spans="1:64" hidden="1">
      <c r="A111" s="890"/>
      <c r="B111" s="890"/>
      <c r="C111" s="890"/>
      <c r="D111" s="895"/>
      <c r="E111" s="890"/>
      <c r="F111" s="789" t="s">
        <v>273</v>
      </c>
      <c r="G111" s="789">
        <v>2013</v>
      </c>
      <c r="H111" s="202"/>
      <c r="I111" s="197">
        <v>0.46</v>
      </c>
      <c r="J111" s="197">
        <v>0.46</v>
      </c>
      <c r="K111" s="197">
        <v>0.46</v>
      </c>
      <c r="L111" s="197">
        <v>0.46</v>
      </c>
      <c r="M111" s="197">
        <v>0.46</v>
      </c>
      <c r="N111" s="197">
        <v>0.46</v>
      </c>
      <c r="O111" s="197">
        <v>0.46</v>
      </c>
      <c r="P111" s="197">
        <v>0.46</v>
      </c>
      <c r="Q111" s="197">
        <v>0.46</v>
      </c>
      <c r="R111" s="197">
        <v>0.46</v>
      </c>
      <c r="S111" s="197">
        <v>0.46</v>
      </c>
      <c r="T111" s="197">
        <v>0.46</v>
      </c>
      <c r="U111" s="197">
        <v>0.46</v>
      </c>
      <c r="V111" s="197">
        <v>0.46</v>
      </c>
      <c r="W111" s="197">
        <v>0.46</v>
      </c>
      <c r="X111" s="203">
        <v>0.46</v>
      </c>
      <c r="Y111" s="197"/>
      <c r="Z111" s="197"/>
      <c r="AA111" s="197"/>
      <c r="AB111" s="10"/>
      <c r="AC111" s="10"/>
      <c r="AD111" s="10"/>
      <c r="AE111" s="10"/>
      <c r="AF111" s="10"/>
      <c r="AG111" s="8"/>
      <c r="AH111" s="8"/>
      <c r="AI111" s="8"/>
      <c r="AJ111" s="8"/>
      <c r="AK111" s="8"/>
      <c r="AL111" s="8"/>
      <c r="AM111" s="8"/>
      <c r="AN111" s="8"/>
      <c r="AO111" s="8"/>
      <c r="AP111" s="8"/>
      <c r="AQ111" s="8"/>
      <c r="AR111" s="8"/>
      <c r="AS111" s="8"/>
      <c r="AT111" s="8"/>
      <c r="AU111" s="8"/>
      <c r="AV111" s="8"/>
      <c r="AW111" s="8"/>
      <c r="AX111" s="8"/>
      <c r="AY111" s="8"/>
      <c r="AZ111" s="8"/>
      <c r="BA111" s="8"/>
      <c r="BB111" s="8"/>
      <c r="BC111" s="8"/>
      <c r="BD111" s="8"/>
      <c r="BE111" s="8"/>
      <c r="BF111" s="8"/>
      <c r="BG111" s="8"/>
      <c r="BH111" s="8"/>
      <c r="BI111" s="8"/>
      <c r="BJ111" s="8"/>
      <c r="BK111" s="8"/>
      <c r="BL111" s="8"/>
    </row>
    <row r="112" spans="1:64" hidden="1">
      <c r="A112" s="890"/>
      <c r="B112" s="890"/>
      <c r="C112" s="890"/>
      <c r="D112" s="896"/>
      <c r="E112" s="890"/>
      <c r="F112" s="789" t="s">
        <v>275</v>
      </c>
      <c r="G112" s="789">
        <v>2025</v>
      </c>
      <c r="H112" s="204"/>
      <c r="I112" s="205">
        <v>0.46</v>
      </c>
      <c r="J112" s="205">
        <v>0.46</v>
      </c>
      <c r="K112" s="205">
        <v>0.46</v>
      </c>
      <c r="L112" s="205">
        <v>0.46</v>
      </c>
      <c r="M112" s="205">
        <v>0.46</v>
      </c>
      <c r="N112" s="205">
        <v>0.46</v>
      </c>
      <c r="O112" s="205">
        <v>0.46</v>
      </c>
      <c r="P112" s="205">
        <v>0.46</v>
      </c>
      <c r="Q112" s="205">
        <v>0.46</v>
      </c>
      <c r="R112" s="205">
        <v>0.46</v>
      </c>
      <c r="S112" s="205">
        <v>0.46</v>
      </c>
      <c r="T112" s="205">
        <v>0.46</v>
      </c>
      <c r="U112" s="205">
        <v>0.46</v>
      </c>
      <c r="V112" s="205">
        <v>0.46</v>
      </c>
      <c r="W112" s="205">
        <v>0.46</v>
      </c>
      <c r="X112" s="206">
        <v>0.46</v>
      </c>
      <c r="Y112" s="197"/>
      <c r="Z112" s="197"/>
      <c r="AA112" s="197"/>
      <c r="AB112" s="10"/>
      <c r="AC112" s="10"/>
      <c r="AD112" s="10"/>
      <c r="AE112" s="10"/>
      <c r="AF112" s="10"/>
      <c r="AG112" s="8"/>
      <c r="AH112" s="8"/>
      <c r="AI112" s="8"/>
      <c r="AJ112" s="8"/>
      <c r="AK112" s="8"/>
      <c r="AL112" s="8"/>
      <c r="AM112" s="8"/>
      <c r="AN112" s="8"/>
      <c r="AO112" s="8"/>
      <c r="AP112" s="8"/>
      <c r="AQ112" s="8"/>
      <c r="AR112" s="8"/>
      <c r="AS112" s="8"/>
      <c r="AT112" s="8"/>
      <c r="AU112" s="8"/>
      <c r="AV112" s="8"/>
      <c r="AW112" s="8"/>
      <c r="AX112" s="8"/>
      <c r="AY112" s="8"/>
      <c r="AZ112" s="8"/>
      <c r="BA112" s="8"/>
      <c r="BB112" s="8"/>
      <c r="BC112" s="8"/>
      <c r="BD112" s="8"/>
      <c r="BE112" s="8"/>
      <c r="BF112" s="8"/>
      <c r="BG112" s="8"/>
      <c r="BH112" s="8"/>
      <c r="BI112" s="8"/>
      <c r="BJ112" s="8"/>
      <c r="BK112" s="8"/>
      <c r="BL112" s="8"/>
    </row>
    <row r="113" spans="1:64" hidden="1">
      <c r="A113" s="890"/>
      <c r="B113" s="890" t="s">
        <v>55</v>
      </c>
      <c r="C113" s="892" t="s">
        <v>334</v>
      </c>
      <c r="D113" s="892"/>
      <c r="E113" s="890" t="s">
        <v>300</v>
      </c>
      <c r="F113" s="789" t="s">
        <v>265</v>
      </c>
      <c r="G113" s="789" t="s">
        <v>266</v>
      </c>
      <c r="H113" s="199"/>
      <c r="I113" s="200"/>
      <c r="J113" s="200"/>
      <c r="K113" s="200"/>
      <c r="L113" s="200"/>
      <c r="M113" s="200"/>
      <c r="N113" s="200"/>
      <c r="O113" s="200"/>
      <c r="P113" s="200"/>
      <c r="Q113" s="200"/>
      <c r="R113" s="200"/>
      <c r="S113" s="200"/>
      <c r="T113" s="200"/>
      <c r="U113" s="200"/>
      <c r="V113" s="200"/>
      <c r="W113" s="200"/>
      <c r="X113" s="201"/>
      <c r="Y113" s="197"/>
      <c r="Z113" s="197"/>
      <c r="AA113" s="197"/>
      <c r="AB113" s="10"/>
      <c r="AC113" s="10"/>
      <c r="AD113" s="10"/>
      <c r="AE113" s="10"/>
      <c r="AF113" s="10"/>
      <c r="AG113" s="8"/>
      <c r="AH113" s="8"/>
      <c r="AI113" s="8"/>
      <c r="AJ113" s="8"/>
      <c r="AK113" s="8"/>
      <c r="AL113" s="8"/>
      <c r="AM113" s="8"/>
      <c r="AN113" s="8"/>
      <c r="AO113" s="8"/>
      <c r="AP113" s="8"/>
      <c r="AQ113" s="8"/>
      <c r="AR113" s="8"/>
      <c r="AS113" s="8"/>
      <c r="AT113" s="8"/>
      <c r="AU113" s="8"/>
      <c r="AV113" s="8"/>
      <c r="AW113" s="8"/>
      <c r="AX113" s="8"/>
      <c r="AY113" s="8"/>
      <c r="AZ113" s="8"/>
      <c r="BA113" s="8"/>
      <c r="BB113" s="8"/>
      <c r="BC113" s="8"/>
      <c r="BD113" s="8"/>
      <c r="BE113" s="8"/>
      <c r="BF113" s="8"/>
      <c r="BG113" s="8"/>
      <c r="BH113" s="8"/>
      <c r="BI113" s="8"/>
      <c r="BJ113" s="8"/>
      <c r="BK113" s="8"/>
      <c r="BL113" s="8"/>
    </row>
    <row r="114" spans="1:64" hidden="1">
      <c r="A114" s="890"/>
      <c r="B114" s="890"/>
      <c r="C114" s="897"/>
      <c r="D114" s="893"/>
      <c r="E114" s="890"/>
      <c r="F114" s="789" t="s">
        <v>268</v>
      </c>
      <c r="G114" s="789">
        <v>1984</v>
      </c>
      <c r="H114" s="202"/>
      <c r="I114" s="197"/>
      <c r="J114" s="197"/>
      <c r="K114" s="197"/>
      <c r="L114" s="197"/>
      <c r="M114" s="197"/>
      <c r="N114" s="197"/>
      <c r="O114" s="197"/>
      <c r="P114" s="197"/>
      <c r="Q114" s="197"/>
      <c r="R114" s="197"/>
      <c r="S114" s="197"/>
      <c r="T114" s="197"/>
      <c r="U114" s="197"/>
      <c r="V114" s="197"/>
      <c r="W114" s="197"/>
      <c r="X114" s="203"/>
      <c r="Y114" s="197"/>
      <c r="Z114" s="197"/>
      <c r="AA114" s="197"/>
      <c r="AB114" s="10"/>
      <c r="AC114" s="10"/>
      <c r="AD114" s="10"/>
      <c r="AE114" s="10"/>
      <c r="AF114" s="10"/>
      <c r="AG114" s="8"/>
      <c r="AH114" s="8"/>
      <c r="AI114" s="8"/>
      <c r="AJ114" s="8"/>
      <c r="AK114" s="8"/>
      <c r="AL114" s="8"/>
      <c r="AM114" s="8"/>
      <c r="AN114" s="8"/>
      <c r="AO114" s="8"/>
      <c r="AP114" s="8"/>
      <c r="AQ114" s="8"/>
      <c r="AR114" s="8"/>
      <c r="AS114" s="8"/>
      <c r="AT114" s="8"/>
      <c r="AU114" s="8"/>
      <c r="AV114" s="8"/>
      <c r="AW114" s="8"/>
      <c r="AX114" s="8"/>
      <c r="AY114" s="8"/>
      <c r="AZ114" s="8"/>
      <c r="BA114" s="8"/>
      <c r="BB114" s="8"/>
      <c r="BC114" s="8"/>
      <c r="BD114" s="8"/>
      <c r="BE114" s="8"/>
      <c r="BF114" s="8"/>
      <c r="BG114" s="8"/>
      <c r="BH114" s="8"/>
      <c r="BI114" s="8"/>
      <c r="BJ114" s="8"/>
      <c r="BK114" s="8"/>
      <c r="BL114" s="8"/>
    </row>
    <row r="115" spans="1:64" ht="26.45" hidden="1">
      <c r="A115" s="890"/>
      <c r="B115" s="890"/>
      <c r="C115" s="897"/>
      <c r="D115" s="894"/>
      <c r="E115" s="890"/>
      <c r="F115" s="790" t="s">
        <v>271</v>
      </c>
      <c r="G115" s="790">
        <v>2001</v>
      </c>
      <c r="H115" s="207" t="s">
        <v>336</v>
      </c>
      <c r="I115" s="197">
        <f>I95</f>
        <v>0.44999999999999996</v>
      </c>
      <c r="J115" s="197">
        <f t="shared" ref="J115:X115" si="23">J95</f>
        <v>0.39</v>
      </c>
      <c r="K115" s="197">
        <f t="shared" si="23"/>
        <v>0.51</v>
      </c>
      <c r="L115" s="197">
        <f t="shared" si="23"/>
        <v>0.51</v>
      </c>
      <c r="M115" s="197">
        <f t="shared" si="23"/>
        <v>0.51</v>
      </c>
      <c r="N115" s="197">
        <f t="shared" si="23"/>
        <v>0.47499999999999998</v>
      </c>
      <c r="O115" s="197">
        <f t="shared" si="23"/>
        <v>0.47499999999999998</v>
      </c>
      <c r="P115" s="197">
        <f t="shared" si="23"/>
        <v>0.47499999999999998</v>
      </c>
      <c r="Q115" s="197">
        <f t="shared" si="23"/>
        <v>0.47499999999999998</v>
      </c>
      <c r="R115" s="197">
        <f t="shared" si="23"/>
        <v>0.39</v>
      </c>
      <c r="S115" s="197">
        <f t="shared" si="23"/>
        <v>0.39</v>
      </c>
      <c r="T115" s="197">
        <f t="shared" si="23"/>
        <v>0.39</v>
      </c>
      <c r="U115" s="197">
        <f t="shared" si="23"/>
        <v>0.39</v>
      </c>
      <c r="V115" s="197">
        <f t="shared" si="23"/>
        <v>0.39</v>
      </c>
      <c r="W115" s="197">
        <f t="shared" si="23"/>
        <v>0.39</v>
      </c>
      <c r="X115" s="203">
        <f t="shared" si="23"/>
        <v>0.44999999999999996</v>
      </c>
      <c r="Y115" s="197"/>
      <c r="Z115" s="197"/>
      <c r="AA115" s="197"/>
      <c r="AB115" s="10"/>
      <c r="AC115" s="10"/>
      <c r="AD115" s="10"/>
      <c r="AE115" s="10"/>
      <c r="AF115" s="10"/>
      <c r="AG115" s="8"/>
      <c r="AH115" s="8"/>
      <c r="AI115" s="8"/>
      <c r="AJ115" s="8"/>
      <c r="AK115" s="8"/>
      <c r="AL115" s="8"/>
      <c r="AM115" s="8"/>
      <c r="AN115" s="8"/>
      <c r="AO115" s="8"/>
      <c r="AP115" s="8"/>
      <c r="AQ115" s="8"/>
      <c r="AR115" s="8"/>
      <c r="AS115" s="8"/>
      <c r="AT115" s="8"/>
      <c r="AU115" s="8"/>
      <c r="AV115" s="8"/>
      <c r="AW115" s="8"/>
      <c r="AX115" s="8"/>
      <c r="AY115" s="8"/>
      <c r="AZ115" s="8"/>
      <c r="BA115" s="8"/>
      <c r="BB115" s="8"/>
      <c r="BC115" s="8"/>
      <c r="BD115" s="8"/>
      <c r="BE115" s="8"/>
      <c r="BF115" s="8"/>
      <c r="BG115" s="8"/>
      <c r="BH115" s="8"/>
      <c r="BI115" s="8"/>
      <c r="BJ115" s="8"/>
      <c r="BK115" s="8"/>
      <c r="BL115" s="8"/>
    </row>
    <row r="116" spans="1:64" hidden="1">
      <c r="A116" s="890"/>
      <c r="B116" s="890"/>
      <c r="C116" s="897"/>
      <c r="D116" s="895"/>
      <c r="E116" s="890"/>
      <c r="F116" s="789" t="s">
        <v>273</v>
      </c>
      <c r="G116" s="789">
        <v>2013</v>
      </c>
      <c r="H116" s="202"/>
      <c r="I116" s="197">
        <v>0.22</v>
      </c>
      <c r="J116" s="197">
        <v>0.22</v>
      </c>
      <c r="K116" s="197">
        <v>0.22</v>
      </c>
      <c r="L116" s="197">
        <v>0.22</v>
      </c>
      <c r="M116" s="197">
        <v>0.22</v>
      </c>
      <c r="N116" s="197">
        <v>0.22</v>
      </c>
      <c r="O116" s="197">
        <v>0.22</v>
      </c>
      <c r="P116" s="197">
        <v>0.22</v>
      </c>
      <c r="Q116" s="197">
        <v>0.22</v>
      </c>
      <c r="R116" s="197">
        <v>0.22</v>
      </c>
      <c r="S116" s="197">
        <v>0.22</v>
      </c>
      <c r="T116" s="197">
        <v>0.22</v>
      </c>
      <c r="U116" s="197">
        <v>0.22</v>
      </c>
      <c r="V116" s="197">
        <v>0.22</v>
      </c>
      <c r="W116" s="197">
        <v>0.22</v>
      </c>
      <c r="X116" s="203">
        <v>0.22</v>
      </c>
      <c r="Y116" s="197"/>
      <c r="Z116" s="197"/>
      <c r="AA116" s="197"/>
      <c r="AB116" s="10"/>
      <c r="AC116" s="10"/>
      <c r="AD116" s="10"/>
      <c r="AE116" s="10"/>
      <c r="AF116" s="10"/>
      <c r="AG116" s="8"/>
      <c r="AH116" s="8"/>
      <c r="AI116" s="8"/>
      <c r="AJ116" s="8"/>
      <c r="AK116" s="8"/>
      <c r="AL116" s="8"/>
      <c r="AM116" s="8"/>
      <c r="AN116" s="8"/>
      <c r="AO116" s="8"/>
      <c r="AP116" s="8"/>
      <c r="AQ116" s="8"/>
      <c r="AR116" s="8"/>
      <c r="AS116" s="8"/>
      <c r="AT116" s="8"/>
      <c r="AU116" s="8"/>
      <c r="AV116" s="8"/>
      <c r="AW116" s="8"/>
      <c r="AX116" s="8"/>
      <c r="AY116" s="8"/>
      <c r="AZ116" s="8"/>
      <c r="BA116" s="8"/>
      <c r="BB116" s="8"/>
      <c r="BC116" s="8"/>
      <c r="BD116" s="8"/>
      <c r="BE116" s="8"/>
      <c r="BF116" s="8"/>
      <c r="BG116" s="8"/>
      <c r="BH116" s="8"/>
      <c r="BI116" s="8"/>
      <c r="BJ116" s="8"/>
      <c r="BK116" s="8"/>
      <c r="BL116" s="8"/>
    </row>
    <row r="117" spans="1:64" hidden="1">
      <c r="A117" s="890"/>
      <c r="B117" s="890"/>
      <c r="C117" s="893"/>
      <c r="D117" s="896"/>
      <c r="E117" s="890"/>
      <c r="F117" s="789" t="s">
        <v>275</v>
      </c>
      <c r="G117" s="789">
        <v>2025</v>
      </c>
      <c r="H117" s="204"/>
      <c r="I117" s="205">
        <v>0.22</v>
      </c>
      <c r="J117" s="205">
        <v>0.22</v>
      </c>
      <c r="K117" s="205">
        <v>0.22</v>
      </c>
      <c r="L117" s="205">
        <v>0.22</v>
      </c>
      <c r="M117" s="205">
        <v>0.22</v>
      </c>
      <c r="N117" s="205">
        <v>0.22</v>
      </c>
      <c r="O117" s="205">
        <v>0.22</v>
      </c>
      <c r="P117" s="205">
        <v>0.22</v>
      </c>
      <c r="Q117" s="205">
        <v>0.22</v>
      </c>
      <c r="R117" s="205">
        <v>0.22</v>
      </c>
      <c r="S117" s="205">
        <v>0.22</v>
      </c>
      <c r="T117" s="205">
        <v>0.22</v>
      </c>
      <c r="U117" s="205">
        <v>0.22</v>
      </c>
      <c r="V117" s="205">
        <v>0.22</v>
      </c>
      <c r="W117" s="205">
        <v>0.22</v>
      </c>
      <c r="X117" s="206">
        <v>0.22</v>
      </c>
      <c r="Y117" s="197"/>
      <c r="Z117" s="197"/>
      <c r="AA117" s="197"/>
      <c r="AB117" s="10"/>
      <c r="AC117" s="10"/>
      <c r="AD117" s="10"/>
      <c r="AE117" s="10"/>
      <c r="AF117" s="10"/>
      <c r="AG117" s="8"/>
      <c r="AH117" s="8"/>
      <c r="AI117" s="8"/>
      <c r="AJ117" s="8"/>
      <c r="AK117" s="8"/>
      <c r="AL117" s="8"/>
      <c r="AM117" s="8"/>
      <c r="AN117" s="8"/>
      <c r="AO117" s="8"/>
      <c r="AP117" s="8"/>
      <c r="AQ117" s="8"/>
      <c r="AR117" s="8"/>
      <c r="AS117" s="8"/>
      <c r="AT117" s="8"/>
      <c r="AU117" s="8"/>
      <c r="AV117" s="8"/>
      <c r="AW117" s="8"/>
      <c r="AX117" s="8"/>
      <c r="AY117" s="8"/>
      <c r="AZ117" s="8"/>
      <c r="BA117" s="8"/>
      <c r="BB117" s="8"/>
      <c r="BC117" s="8"/>
      <c r="BD117" s="8"/>
      <c r="BE117" s="8"/>
      <c r="BF117" s="8"/>
      <c r="BG117" s="8"/>
      <c r="BH117" s="8"/>
      <c r="BI117" s="8"/>
      <c r="BJ117" s="8"/>
      <c r="BK117" s="8"/>
      <c r="BL117" s="8"/>
    </row>
    <row r="118" spans="1:64" hidden="1">
      <c r="A118" s="197"/>
      <c r="B118" s="208"/>
      <c r="C118" s="197"/>
      <c r="D118" s="197"/>
      <c r="E118" s="197"/>
      <c r="F118" s="197"/>
      <c r="G118" s="198"/>
      <c r="H118" s="197"/>
      <c r="I118" s="197"/>
      <c r="J118" s="197"/>
      <c r="K118" s="197"/>
      <c r="L118" s="197"/>
      <c r="M118" s="197"/>
      <c r="N118" s="197"/>
      <c r="O118" s="197"/>
      <c r="P118" s="197"/>
      <c r="Q118" s="197"/>
      <c r="R118" s="197"/>
      <c r="S118" s="197"/>
      <c r="T118" s="197"/>
      <c r="U118" s="197"/>
      <c r="V118" s="197"/>
      <c r="W118" s="197"/>
      <c r="X118" s="197"/>
      <c r="Y118" s="197"/>
      <c r="Z118" s="197"/>
      <c r="AA118" s="197"/>
      <c r="AB118" s="10"/>
      <c r="AC118" s="10"/>
      <c r="AD118" s="10"/>
      <c r="AE118" s="10"/>
      <c r="AF118" s="10"/>
      <c r="AG118" s="8"/>
      <c r="AH118" s="8"/>
      <c r="AI118" s="8"/>
      <c r="AJ118" s="8"/>
      <c r="AK118" s="8"/>
      <c r="AL118" s="8"/>
      <c r="AM118" s="8"/>
      <c r="AN118" s="8"/>
      <c r="AO118" s="8"/>
      <c r="AP118" s="8"/>
      <c r="AQ118" s="8"/>
      <c r="AR118" s="8"/>
      <c r="AS118" s="8"/>
      <c r="AT118" s="8"/>
      <c r="AU118" s="8"/>
      <c r="AV118" s="8"/>
      <c r="AW118" s="8"/>
      <c r="AX118" s="8"/>
      <c r="AY118" s="8"/>
      <c r="AZ118" s="8"/>
      <c r="BA118" s="8"/>
      <c r="BB118" s="8"/>
      <c r="BC118" s="8"/>
      <c r="BD118" s="8"/>
      <c r="BE118" s="8"/>
      <c r="BF118" s="8"/>
      <c r="BG118" s="8"/>
      <c r="BH118" s="8"/>
      <c r="BI118" s="8"/>
      <c r="BJ118" s="8"/>
      <c r="BK118" s="8"/>
      <c r="BL118" s="8"/>
    </row>
    <row r="119" spans="1:64" hidden="1">
      <c r="A119" s="197"/>
      <c r="B119" s="208"/>
      <c r="C119" s="197"/>
      <c r="D119" s="197"/>
      <c r="E119" s="197"/>
      <c r="F119" s="197"/>
      <c r="G119" s="198"/>
      <c r="H119" s="197"/>
      <c r="I119" s="197"/>
      <c r="J119" s="197"/>
      <c r="K119" s="197"/>
      <c r="L119" s="197"/>
      <c r="M119" s="197"/>
      <c r="N119" s="197"/>
      <c r="O119" s="197"/>
      <c r="P119" s="197"/>
      <c r="Q119" s="197"/>
      <c r="R119" s="197"/>
      <c r="S119" s="197"/>
      <c r="T119" s="197"/>
      <c r="U119" s="197"/>
      <c r="V119" s="197"/>
      <c r="W119" s="197"/>
      <c r="X119" s="197"/>
      <c r="Y119" s="197"/>
      <c r="Z119" s="197"/>
      <c r="AA119" s="197"/>
      <c r="AB119" s="10"/>
      <c r="AC119" s="10"/>
      <c r="AD119" s="10"/>
      <c r="AE119" s="10"/>
      <c r="AF119" s="10"/>
      <c r="AG119" s="8"/>
      <c r="AH119" s="8"/>
      <c r="AI119" s="8"/>
      <c r="AJ119" s="8"/>
      <c r="AK119" s="8"/>
      <c r="AL119" s="8"/>
      <c r="AM119" s="8"/>
      <c r="AN119" s="8"/>
      <c r="AO119" s="8"/>
      <c r="AP119" s="8"/>
      <c r="AQ119" s="8"/>
      <c r="AR119" s="8"/>
      <c r="AS119" s="8"/>
      <c r="AT119" s="8"/>
      <c r="AU119" s="8"/>
      <c r="AV119" s="8"/>
      <c r="AW119" s="8"/>
      <c r="AX119" s="8"/>
      <c r="AY119" s="8"/>
      <c r="AZ119" s="8"/>
      <c r="BA119" s="8"/>
      <c r="BB119" s="8"/>
      <c r="BC119" s="8"/>
      <c r="BD119" s="8"/>
      <c r="BE119" s="8"/>
      <c r="BF119" s="8"/>
      <c r="BG119" s="8"/>
      <c r="BH119" s="8"/>
      <c r="BI119" s="8"/>
      <c r="BJ119" s="8"/>
      <c r="BK119" s="8"/>
      <c r="BL119" s="8"/>
    </row>
    <row r="120" spans="1:64" hidden="1">
      <c r="A120" s="197"/>
      <c r="B120" s="208"/>
      <c r="C120" s="197"/>
      <c r="D120" s="197"/>
      <c r="E120" s="197"/>
      <c r="F120" s="197"/>
      <c r="G120" s="198"/>
      <c r="H120" s="197"/>
      <c r="I120" s="197"/>
      <c r="J120" s="197"/>
      <c r="K120" s="197"/>
      <c r="L120" s="197"/>
      <c r="M120" s="197"/>
      <c r="N120" s="197"/>
      <c r="O120" s="197"/>
      <c r="P120" s="197"/>
      <c r="Q120" s="197"/>
      <c r="R120" s="197"/>
      <c r="S120" s="197"/>
      <c r="T120" s="197"/>
      <c r="U120" s="197"/>
      <c r="V120" s="197"/>
      <c r="W120" s="197"/>
      <c r="X120" s="197"/>
      <c r="Y120" s="197"/>
      <c r="Z120" s="197"/>
      <c r="AA120" s="197"/>
      <c r="AB120" s="10"/>
      <c r="AC120" s="10"/>
      <c r="AD120" s="10"/>
      <c r="AE120" s="10"/>
      <c r="AF120" s="10"/>
      <c r="AG120" s="8"/>
      <c r="AH120" s="8"/>
      <c r="AI120" s="8"/>
      <c r="AJ120" s="8"/>
      <c r="AK120" s="8"/>
      <c r="AL120" s="8"/>
      <c r="AM120" s="8"/>
      <c r="AN120" s="8"/>
      <c r="AO120" s="8"/>
      <c r="AP120" s="8"/>
      <c r="AQ120" s="8"/>
      <c r="AR120" s="8"/>
      <c r="AS120" s="8"/>
      <c r="AT120" s="8"/>
      <c r="AU120" s="8"/>
      <c r="AV120" s="8"/>
      <c r="AW120" s="8"/>
      <c r="AX120" s="8"/>
      <c r="AY120" s="8"/>
      <c r="AZ120" s="8"/>
      <c r="BA120" s="8"/>
      <c r="BB120" s="8"/>
      <c r="BC120" s="8"/>
      <c r="BD120" s="8"/>
      <c r="BE120" s="8"/>
      <c r="BF120" s="8"/>
      <c r="BG120" s="8"/>
      <c r="BH120" s="8"/>
      <c r="BI120" s="8"/>
      <c r="BJ120" s="8"/>
      <c r="BK120" s="8"/>
      <c r="BL120" s="8"/>
    </row>
    <row r="121" spans="1:64" ht="14.45" hidden="1">
      <c r="A121" s="209" t="s">
        <v>337</v>
      </c>
      <c r="B121" s="209">
        <v>2001</v>
      </c>
      <c r="C121" s="210" t="s">
        <v>338</v>
      </c>
      <c r="D121" s="209" t="s">
        <v>339</v>
      </c>
      <c r="E121" s="211" t="s">
        <v>340</v>
      </c>
      <c r="F121" s="212" t="s">
        <v>341</v>
      </c>
      <c r="G121" s="198">
        <v>2001</v>
      </c>
      <c r="H121" s="212" t="s">
        <v>342</v>
      </c>
      <c r="I121" s="212">
        <v>0.47</v>
      </c>
      <c r="J121" s="213">
        <v>0.4</v>
      </c>
      <c r="K121" s="213">
        <v>0.61</v>
      </c>
      <c r="L121" s="214">
        <v>0.61</v>
      </c>
      <c r="M121" s="212">
        <v>0.61</v>
      </c>
      <c r="N121" s="212">
        <v>0.61</v>
      </c>
      <c r="O121" s="212">
        <v>0.61</v>
      </c>
      <c r="P121" s="212">
        <v>0.61</v>
      </c>
      <c r="Q121" s="212">
        <v>0.61</v>
      </c>
      <c r="R121" s="212">
        <v>0.4</v>
      </c>
      <c r="S121" s="212">
        <v>0.4</v>
      </c>
      <c r="T121" s="212">
        <v>0.4</v>
      </c>
      <c r="U121" s="212">
        <v>0.4</v>
      </c>
      <c r="V121" s="212">
        <v>0.43</v>
      </c>
      <c r="W121" s="212">
        <v>0.43</v>
      </c>
      <c r="X121" s="212">
        <v>0.47</v>
      </c>
      <c r="Y121" s="197"/>
      <c r="Z121" s="197"/>
      <c r="AA121" s="197"/>
      <c r="AB121" s="10"/>
      <c r="AC121" s="10"/>
      <c r="AD121" s="10"/>
      <c r="AE121" s="10"/>
      <c r="AF121" s="10"/>
      <c r="AG121" s="8"/>
      <c r="AH121" s="8"/>
      <c r="AI121" s="8"/>
      <c r="AJ121" s="8"/>
      <c r="AK121" s="8"/>
      <c r="AL121" s="8"/>
      <c r="AM121" s="8"/>
      <c r="AN121" s="8"/>
      <c r="AO121" s="8"/>
      <c r="AP121" s="8"/>
      <c r="AQ121" s="8"/>
      <c r="AR121" s="8"/>
      <c r="AS121" s="8"/>
      <c r="AT121" s="8"/>
      <c r="AU121" s="8"/>
      <c r="AV121" s="8"/>
      <c r="AW121" s="8"/>
      <c r="AX121" s="8"/>
      <c r="AY121" s="8"/>
      <c r="AZ121" s="8"/>
      <c r="BA121" s="8"/>
      <c r="BB121" s="8"/>
      <c r="BC121" s="8"/>
      <c r="BD121" s="8"/>
      <c r="BE121" s="8"/>
      <c r="BF121" s="8"/>
      <c r="BG121" s="8"/>
      <c r="BH121" s="8"/>
      <c r="BI121" s="8"/>
      <c r="BJ121" s="8"/>
      <c r="BK121" s="8"/>
      <c r="BL121" s="8"/>
    </row>
    <row r="122" spans="1:64" ht="14.45" hidden="1">
      <c r="A122" s="209" t="s">
        <v>337</v>
      </c>
      <c r="B122" s="209">
        <v>2001</v>
      </c>
      <c r="C122" s="210" t="s">
        <v>338</v>
      </c>
      <c r="D122" s="209" t="s">
        <v>343</v>
      </c>
      <c r="E122" s="211" t="s">
        <v>340</v>
      </c>
      <c r="F122" s="212" t="s">
        <v>341</v>
      </c>
      <c r="G122" s="198">
        <v>2001</v>
      </c>
      <c r="H122" s="212" t="s">
        <v>342</v>
      </c>
      <c r="I122" s="212">
        <v>0.36</v>
      </c>
      <c r="J122" s="213">
        <v>0.31</v>
      </c>
      <c r="K122" s="213">
        <v>0.31</v>
      </c>
      <c r="L122" s="214">
        <v>0.31</v>
      </c>
      <c r="M122" s="212">
        <v>0.31</v>
      </c>
      <c r="N122" s="212">
        <v>0.36</v>
      </c>
      <c r="O122" s="212">
        <v>0.36</v>
      </c>
      <c r="P122" s="212">
        <v>0.36</v>
      </c>
      <c r="Q122" s="212">
        <v>0.36</v>
      </c>
      <c r="R122" s="212">
        <v>0.31</v>
      </c>
      <c r="S122" s="212">
        <v>0.31</v>
      </c>
      <c r="T122" s="212">
        <v>0.31</v>
      </c>
      <c r="U122" s="212">
        <v>0.31</v>
      </c>
      <c r="V122" s="212">
        <v>0.26</v>
      </c>
      <c r="W122" s="212">
        <v>0.26</v>
      </c>
      <c r="X122" s="212">
        <v>0.36</v>
      </c>
      <c r="Y122" s="197"/>
      <c r="Z122" s="197"/>
      <c r="AA122" s="197"/>
      <c r="AB122" s="10"/>
      <c r="AC122" s="10"/>
      <c r="AD122" s="10"/>
      <c r="AE122" s="10"/>
      <c r="AF122" s="10"/>
      <c r="AG122" s="8"/>
      <c r="AH122" s="8"/>
      <c r="AI122" s="8"/>
      <c r="AJ122" s="8"/>
      <c r="AK122" s="8"/>
      <c r="AL122" s="8"/>
      <c r="AM122" s="8"/>
      <c r="AN122" s="8"/>
      <c r="AO122" s="8"/>
      <c r="AP122" s="8"/>
      <c r="AQ122" s="8"/>
      <c r="AR122" s="8"/>
      <c r="AS122" s="8"/>
      <c r="AT122" s="8"/>
      <c r="AU122" s="8"/>
      <c r="AV122" s="8"/>
      <c r="AW122" s="8"/>
      <c r="AX122" s="8"/>
      <c r="AY122" s="8"/>
      <c r="AZ122" s="8"/>
      <c r="BA122" s="8"/>
      <c r="BB122" s="8"/>
      <c r="BC122" s="8"/>
      <c r="BD122" s="8"/>
      <c r="BE122" s="8"/>
      <c r="BF122" s="8"/>
      <c r="BG122" s="8"/>
      <c r="BH122" s="8"/>
      <c r="BI122" s="8"/>
      <c r="BJ122" s="8"/>
      <c r="BK122" s="8"/>
      <c r="BL122" s="8"/>
    </row>
    <row r="123" spans="1:64" ht="14.45" hidden="1">
      <c r="A123" s="209" t="s">
        <v>337</v>
      </c>
      <c r="B123" s="209">
        <v>2001</v>
      </c>
      <c r="C123" s="210" t="s">
        <v>338</v>
      </c>
      <c r="D123" s="209" t="s">
        <v>343</v>
      </c>
      <c r="E123" s="211" t="s">
        <v>344</v>
      </c>
      <c r="F123" s="212" t="s">
        <v>341</v>
      </c>
      <c r="G123" s="198">
        <v>2001</v>
      </c>
      <c r="H123" s="212" t="s">
        <v>342</v>
      </c>
      <c r="I123" s="212">
        <v>0.3</v>
      </c>
      <c r="J123" s="213">
        <v>0.26</v>
      </c>
      <c r="K123" s="213">
        <v>0.26</v>
      </c>
      <c r="L123" s="214">
        <v>0.26</v>
      </c>
      <c r="M123" s="212">
        <v>0.26</v>
      </c>
      <c r="N123" s="212">
        <v>0.31</v>
      </c>
      <c r="O123" s="212">
        <v>0.31</v>
      </c>
      <c r="P123" s="212">
        <v>0.31</v>
      </c>
      <c r="Q123" s="212">
        <v>0.31</v>
      </c>
      <c r="R123" s="212">
        <v>0.26</v>
      </c>
      <c r="S123" s="212">
        <v>0.26</v>
      </c>
      <c r="T123" s="212">
        <v>0.26</v>
      </c>
      <c r="U123" s="212">
        <v>0.26</v>
      </c>
      <c r="V123" s="212">
        <v>0.26</v>
      </c>
      <c r="W123" s="212">
        <v>0.26</v>
      </c>
      <c r="X123" s="212">
        <v>0.3</v>
      </c>
      <c r="Y123" s="197"/>
      <c r="Z123" s="197"/>
      <c r="AA123" s="197"/>
      <c r="AB123" s="10"/>
      <c r="AC123" s="10"/>
      <c r="AD123" s="10"/>
      <c r="AE123" s="10"/>
      <c r="AF123" s="10"/>
      <c r="AG123" s="8"/>
      <c r="AH123" s="8"/>
      <c r="AI123" s="8"/>
      <c r="AJ123" s="8"/>
      <c r="AK123" s="8"/>
      <c r="AL123" s="8"/>
      <c r="AM123" s="8"/>
      <c r="AN123" s="8"/>
      <c r="AO123" s="8"/>
      <c r="AP123" s="8"/>
      <c r="AQ123" s="8"/>
      <c r="AR123" s="8"/>
      <c r="AS123" s="8"/>
      <c r="AT123" s="8"/>
      <c r="AU123" s="8"/>
      <c r="AV123" s="8"/>
      <c r="AW123" s="8"/>
      <c r="AX123" s="8"/>
      <c r="AY123" s="8"/>
      <c r="AZ123" s="8"/>
      <c r="BA123" s="8"/>
      <c r="BB123" s="8"/>
      <c r="BC123" s="8"/>
      <c r="BD123" s="8"/>
      <c r="BE123" s="8"/>
      <c r="BF123" s="8"/>
      <c r="BG123" s="8"/>
      <c r="BH123" s="8"/>
      <c r="BI123" s="8"/>
      <c r="BJ123" s="8"/>
      <c r="BK123" s="8"/>
      <c r="BL123" s="8"/>
    </row>
    <row r="124" spans="1:64" hidden="1">
      <c r="A124" s="197"/>
      <c r="B124" s="208"/>
      <c r="C124" s="197"/>
      <c r="D124" s="197"/>
      <c r="E124" s="197"/>
      <c r="F124" s="197"/>
      <c r="G124" s="198"/>
      <c r="H124" s="197"/>
      <c r="I124" s="197"/>
      <c r="J124" s="197"/>
      <c r="K124" s="197"/>
      <c r="L124" s="197"/>
      <c r="M124" s="197"/>
      <c r="N124" s="197"/>
      <c r="O124" s="197"/>
      <c r="P124" s="197"/>
      <c r="Q124" s="197"/>
      <c r="R124" s="197"/>
      <c r="S124" s="197"/>
      <c r="T124" s="197"/>
      <c r="U124" s="197"/>
      <c r="V124" s="197"/>
      <c r="W124" s="197"/>
      <c r="X124" s="197"/>
      <c r="Y124" s="197"/>
      <c r="Z124" s="197"/>
      <c r="AA124" s="197"/>
      <c r="AB124" s="10"/>
      <c r="AC124" s="10"/>
      <c r="AD124" s="10"/>
      <c r="AE124" s="10"/>
      <c r="AF124" s="10"/>
      <c r="AG124" s="8"/>
      <c r="AH124" s="8"/>
      <c r="AI124" s="8"/>
      <c r="AJ124" s="8"/>
      <c r="AK124" s="8"/>
      <c r="AL124" s="8"/>
      <c r="AM124" s="8"/>
      <c r="AN124" s="8"/>
      <c r="AO124" s="8"/>
      <c r="AP124" s="8"/>
      <c r="AQ124" s="8"/>
      <c r="AR124" s="8"/>
      <c r="AS124" s="8"/>
      <c r="AT124" s="8"/>
      <c r="AU124" s="8"/>
      <c r="AV124" s="8"/>
      <c r="AW124" s="8"/>
      <c r="AX124" s="8"/>
      <c r="AY124" s="8"/>
      <c r="AZ124" s="8"/>
      <c r="BA124" s="8"/>
      <c r="BB124" s="8"/>
      <c r="BC124" s="8"/>
      <c r="BD124" s="8"/>
      <c r="BE124" s="8"/>
      <c r="BF124" s="8"/>
      <c r="BG124" s="8"/>
      <c r="BH124" s="8"/>
      <c r="BI124" s="8"/>
      <c r="BJ124" s="8"/>
      <c r="BK124" s="8"/>
      <c r="BL124" s="8"/>
    </row>
    <row r="125" spans="1:64" s="1" customFormat="1" ht="14.45" hidden="1">
      <c r="A125" s="209" t="s">
        <v>345</v>
      </c>
      <c r="B125" s="209">
        <v>2001</v>
      </c>
      <c r="C125" s="210" t="s">
        <v>338</v>
      </c>
      <c r="D125" s="209" t="s">
        <v>339</v>
      </c>
      <c r="E125" s="214" t="s">
        <v>340</v>
      </c>
      <c r="F125" s="209" t="s">
        <v>341</v>
      </c>
      <c r="G125" s="198">
        <v>2001</v>
      </c>
      <c r="H125" s="212" t="s">
        <v>346</v>
      </c>
      <c r="I125" s="209">
        <v>0.47</v>
      </c>
      <c r="J125" s="215">
        <v>0.47</v>
      </c>
      <c r="K125" s="215">
        <v>0.61</v>
      </c>
      <c r="L125" s="215">
        <v>0.61</v>
      </c>
      <c r="M125" s="216">
        <v>0.61</v>
      </c>
      <c r="N125" s="216">
        <v>0.61</v>
      </c>
      <c r="O125" s="209">
        <v>0.61</v>
      </c>
      <c r="P125" s="209">
        <v>0.61</v>
      </c>
      <c r="Q125" s="209">
        <v>0.61</v>
      </c>
      <c r="R125" s="209">
        <v>0.47</v>
      </c>
      <c r="S125" s="209">
        <v>0.47</v>
      </c>
      <c r="T125" s="209">
        <v>0.47</v>
      </c>
      <c r="U125" s="209">
        <v>0.47</v>
      </c>
      <c r="V125" s="209">
        <v>0.47</v>
      </c>
      <c r="W125" s="209">
        <v>0.47</v>
      </c>
      <c r="X125" s="209">
        <v>0.47</v>
      </c>
      <c r="Y125" s="209"/>
      <c r="Z125" s="212"/>
      <c r="AA125" s="209"/>
      <c r="AB125" s="217"/>
      <c r="AC125" s="217"/>
      <c r="AD125" s="217"/>
      <c r="AE125" s="217"/>
      <c r="AF125" s="217"/>
    </row>
    <row r="126" spans="1:64" s="1" customFormat="1" ht="14.45" hidden="1">
      <c r="A126" s="209" t="s">
        <v>345</v>
      </c>
      <c r="B126" s="209">
        <v>2001</v>
      </c>
      <c r="C126" s="210" t="s">
        <v>338</v>
      </c>
      <c r="D126" s="209" t="s">
        <v>343</v>
      </c>
      <c r="E126" s="214" t="s">
        <v>340</v>
      </c>
      <c r="F126" s="209" t="s">
        <v>341</v>
      </c>
      <c r="G126" s="198">
        <v>2001</v>
      </c>
      <c r="H126" s="212" t="s">
        <v>346</v>
      </c>
      <c r="I126" s="209">
        <v>0.43</v>
      </c>
      <c r="J126" s="215">
        <v>0.36</v>
      </c>
      <c r="K126" s="215">
        <v>0.41</v>
      </c>
      <c r="L126" s="215">
        <v>0.41</v>
      </c>
      <c r="M126" s="216">
        <v>0.41</v>
      </c>
      <c r="N126" s="216">
        <v>0.39</v>
      </c>
      <c r="O126" s="209">
        <v>0.39</v>
      </c>
      <c r="P126" s="209">
        <v>0.39</v>
      </c>
      <c r="Q126" s="209">
        <v>0.39</v>
      </c>
      <c r="R126" s="209">
        <v>0.36</v>
      </c>
      <c r="S126" s="209">
        <v>0.36</v>
      </c>
      <c r="T126" s="209">
        <v>0.36</v>
      </c>
      <c r="U126" s="209">
        <v>0.36</v>
      </c>
      <c r="V126" s="209">
        <v>0.36</v>
      </c>
      <c r="W126" s="209">
        <v>0.36</v>
      </c>
      <c r="X126" s="209">
        <v>0.43</v>
      </c>
      <c r="Y126" s="209"/>
      <c r="Z126" s="212"/>
      <c r="AA126" s="209"/>
      <c r="AB126" s="217"/>
      <c r="AC126" s="217"/>
      <c r="AD126" s="217"/>
      <c r="AE126" s="217"/>
      <c r="AF126" s="217"/>
    </row>
    <row r="127" spans="1:64" s="1" customFormat="1" ht="14.45" hidden="1">
      <c r="A127" s="209" t="s">
        <v>345</v>
      </c>
      <c r="B127" s="209">
        <v>2001</v>
      </c>
      <c r="C127" s="210" t="s">
        <v>338</v>
      </c>
      <c r="D127" s="209" t="s">
        <v>343</v>
      </c>
      <c r="E127" s="214" t="s">
        <v>344</v>
      </c>
      <c r="F127" s="209" t="s">
        <v>341</v>
      </c>
      <c r="G127" s="198">
        <v>2001</v>
      </c>
      <c r="H127" s="212" t="s">
        <v>346</v>
      </c>
      <c r="I127" s="209">
        <v>0.43</v>
      </c>
      <c r="J127" s="215">
        <v>0.31</v>
      </c>
      <c r="K127" s="215">
        <v>0.41</v>
      </c>
      <c r="L127" s="215">
        <v>0.41</v>
      </c>
      <c r="M127" s="216">
        <v>0.41</v>
      </c>
      <c r="N127" s="216">
        <v>0.34</v>
      </c>
      <c r="O127" s="209">
        <v>0.34</v>
      </c>
      <c r="P127" s="209">
        <v>0.34</v>
      </c>
      <c r="Q127" s="209">
        <v>0.34</v>
      </c>
      <c r="R127" s="209">
        <v>0.31</v>
      </c>
      <c r="S127" s="209">
        <v>0.31</v>
      </c>
      <c r="T127" s="209">
        <v>0.31</v>
      </c>
      <c r="U127" s="209">
        <v>0.31</v>
      </c>
      <c r="V127" s="209">
        <v>0.31</v>
      </c>
      <c r="W127" s="209">
        <v>0.31</v>
      </c>
      <c r="X127" s="209">
        <v>0.43</v>
      </c>
      <c r="Y127" s="209"/>
      <c r="Z127" s="212"/>
      <c r="AA127" s="209"/>
      <c r="AB127" s="217"/>
      <c r="AC127" s="217"/>
      <c r="AD127" s="217"/>
      <c r="AE127" s="217"/>
      <c r="AF127" s="217"/>
    </row>
    <row r="128" spans="1:64" hidden="1">
      <c r="A128" s="197"/>
      <c r="B128" s="208"/>
      <c r="C128" s="197"/>
      <c r="D128" s="197"/>
      <c r="E128" s="197"/>
      <c r="F128" s="197"/>
      <c r="G128" s="198"/>
      <c r="H128" s="197"/>
      <c r="I128" s="197"/>
      <c r="J128" s="197"/>
      <c r="K128" s="197"/>
      <c r="L128" s="197"/>
      <c r="M128" s="197"/>
      <c r="N128" s="197"/>
      <c r="O128" s="197"/>
      <c r="P128" s="197"/>
      <c r="Q128" s="197"/>
      <c r="R128" s="197"/>
      <c r="S128" s="197"/>
      <c r="T128" s="197"/>
      <c r="U128" s="197"/>
      <c r="V128" s="197"/>
      <c r="W128" s="197"/>
      <c r="X128" s="197"/>
      <c r="Y128" s="197"/>
      <c r="Z128" s="197"/>
      <c r="AA128" s="197"/>
      <c r="AB128" s="10"/>
      <c r="AC128" s="10"/>
      <c r="AD128" s="10"/>
      <c r="AE128" s="10"/>
      <c r="AF128" s="10"/>
      <c r="AG128" s="8"/>
      <c r="AH128" s="8"/>
      <c r="AI128" s="8"/>
      <c r="AJ128" s="8"/>
      <c r="AK128" s="8"/>
      <c r="AL128" s="8"/>
      <c r="AM128" s="8"/>
      <c r="AN128" s="8"/>
      <c r="AO128" s="8"/>
      <c r="AP128" s="8"/>
      <c r="AQ128" s="8"/>
      <c r="AR128" s="8"/>
      <c r="AS128" s="8"/>
      <c r="AT128" s="8"/>
      <c r="AU128" s="8"/>
      <c r="AV128" s="8"/>
      <c r="AW128" s="8"/>
      <c r="AX128" s="8"/>
      <c r="AY128" s="8"/>
      <c r="AZ128" s="8"/>
      <c r="BA128" s="8"/>
      <c r="BB128" s="8"/>
      <c r="BC128" s="8"/>
      <c r="BD128" s="8"/>
      <c r="BE128" s="8"/>
      <c r="BF128" s="8"/>
      <c r="BG128" s="8"/>
      <c r="BH128" s="8"/>
      <c r="BI128" s="8"/>
      <c r="BJ128" s="8"/>
      <c r="BK128" s="8"/>
      <c r="BL128" s="8"/>
    </row>
    <row r="129" spans="1:64" hidden="1">
      <c r="A129" s="197"/>
      <c r="B129" s="208"/>
      <c r="C129" s="197"/>
      <c r="D129" s="197"/>
      <c r="E129" s="197"/>
      <c r="F129" s="197"/>
      <c r="G129" s="198"/>
      <c r="H129" s="197"/>
      <c r="I129" s="197"/>
      <c r="J129" s="197"/>
      <c r="K129" s="197"/>
      <c r="L129" s="197"/>
      <c r="M129" s="197"/>
      <c r="N129" s="197"/>
      <c r="O129" s="197"/>
      <c r="P129" s="197"/>
      <c r="Q129" s="197"/>
      <c r="R129" s="197"/>
      <c r="S129" s="197"/>
      <c r="T129" s="197"/>
      <c r="U129" s="197"/>
      <c r="V129" s="197"/>
      <c r="W129" s="197"/>
      <c r="X129" s="197"/>
      <c r="Y129" s="197"/>
      <c r="Z129" s="197"/>
      <c r="AA129" s="197"/>
      <c r="AB129" s="10"/>
      <c r="AC129" s="10"/>
      <c r="AD129" s="10"/>
      <c r="AE129" s="10"/>
      <c r="AF129" s="10"/>
      <c r="AG129" s="8"/>
      <c r="AH129" s="8"/>
      <c r="AI129" s="8"/>
      <c r="AJ129" s="8"/>
      <c r="AK129" s="8"/>
      <c r="AL129" s="8"/>
      <c r="AM129" s="8"/>
      <c r="AN129" s="8"/>
      <c r="AO129" s="8"/>
      <c r="AP129" s="8"/>
      <c r="AQ129" s="8"/>
      <c r="AR129" s="8"/>
      <c r="AS129" s="8"/>
      <c r="AT129" s="8"/>
      <c r="AU129" s="8"/>
      <c r="AV129" s="8"/>
      <c r="AW129" s="8"/>
      <c r="AX129" s="8"/>
      <c r="AY129" s="8"/>
      <c r="AZ129" s="8"/>
      <c r="BA129" s="8"/>
      <c r="BB129" s="8"/>
      <c r="BC129" s="8"/>
      <c r="BD129" s="8"/>
      <c r="BE129" s="8"/>
      <c r="BF129" s="8"/>
      <c r="BG129" s="8"/>
      <c r="BH129" s="8"/>
      <c r="BI129" s="8"/>
      <c r="BJ129" s="8"/>
      <c r="BK129" s="8"/>
      <c r="BL129" s="8"/>
    </row>
    <row r="130" spans="1:64" hidden="1">
      <c r="A130" s="197"/>
      <c r="B130" s="208"/>
      <c r="C130" s="197"/>
      <c r="D130" s="197"/>
      <c r="E130" s="197"/>
      <c r="F130" s="197"/>
      <c r="G130" s="198"/>
      <c r="H130" s="197"/>
      <c r="I130" s="197"/>
      <c r="J130" s="197"/>
      <c r="K130" s="197"/>
      <c r="L130" s="197"/>
      <c r="M130" s="197"/>
      <c r="N130" s="197"/>
      <c r="O130" s="197"/>
      <c r="P130" s="197"/>
      <c r="Q130" s="197"/>
      <c r="R130" s="197"/>
      <c r="S130" s="197"/>
      <c r="T130" s="197"/>
      <c r="U130" s="197"/>
      <c r="V130" s="197"/>
      <c r="W130" s="197"/>
      <c r="X130" s="197"/>
      <c r="Y130" s="197"/>
      <c r="Z130" s="197"/>
      <c r="AA130" s="197"/>
      <c r="AB130" s="10"/>
      <c r="AC130" s="10"/>
      <c r="AD130" s="10"/>
      <c r="AE130" s="10"/>
      <c r="AF130" s="10"/>
      <c r="AG130" s="8"/>
      <c r="AH130" s="8"/>
      <c r="AI130" s="8"/>
      <c r="AJ130" s="8"/>
      <c r="AK130" s="8"/>
      <c r="AL130" s="8"/>
      <c r="AM130" s="8"/>
      <c r="AN130" s="8"/>
      <c r="AO130" s="8"/>
      <c r="AP130" s="8"/>
      <c r="AQ130" s="8"/>
      <c r="AR130" s="8"/>
      <c r="AS130" s="8"/>
      <c r="AT130" s="8"/>
      <c r="AU130" s="8"/>
      <c r="AV130" s="8"/>
      <c r="AW130" s="8"/>
      <c r="AX130" s="8"/>
      <c r="AY130" s="8"/>
      <c r="AZ130" s="8"/>
      <c r="BA130" s="8"/>
      <c r="BB130" s="8"/>
      <c r="BC130" s="8"/>
      <c r="BD130" s="8"/>
      <c r="BE130" s="8"/>
      <c r="BF130" s="8"/>
      <c r="BG130" s="8"/>
      <c r="BH130" s="8"/>
      <c r="BI130" s="8"/>
      <c r="BJ130" s="8"/>
      <c r="BK130" s="8"/>
      <c r="BL130" s="8"/>
    </row>
    <row r="131" spans="1:64" hidden="1">
      <c r="A131" s="197" t="s">
        <v>347</v>
      </c>
      <c r="B131" s="208"/>
      <c r="C131" s="197"/>
      <c r="D131" s="197"/>
      <c r="E131" s="197"/>
      <c r="F131" s="197" t="s">
        <v>300</v>
      </c>
      <c r="G131" s="198">
        <v>2001</v>
      </c>
      <c r="H131" s="197" t="s">
        <v>348</v>
      </c>
      <c r="I131" s="197">
        <f>I121*0.45+0.1*I122+0.45*I123</f>
        <v>0.38250000000000001</v>
      </c>
      <c r="J131" s="197">
        <f t="shared" ref="J131:X131" si="24">J121*0.45+0.1*J122+0.45*J123</f>
        <v>0.32800000000000001</v>
      </c>
      <c r="K131" s="197">
        <f t="shared" si="24"/>
        <v>0.42249999999999999</v>
      </c>
      <c r="L131" s="197">
        <f t="shared" si="24"/>
        <v>0.42249999999999999</v>
      </c>
      <c r="M131" s="197">
        <f t="shared" si="24"/>
        <v>0.42249999999999999</v>
      </c>
      <c r="N131" s="197">
        <f t="shared" si="24"/>
        <v>0.45</v>
      </c>
      <c r="O131" s="197">
        <f t="shared" si="24"/>
        <v>0.45</v>
      </c>
      <c r="P131" s="197">
        <f t="shared" si="24"/>
        <v>0.45</v>
      </c>
      <c r="Q131" s="197">
        <f t="shared" si="24"/>
        <v>0.45</v>
      </c>
      <c r="R131" s="197">
        <f t="shared" si="24"/>
        <v>0.32800000000000001</v>
      </c>
      <c r="S131" s="197">
        <f t="shared" si="24"/>
        <v>0.32800000000000001</v>
      </c>
      <c r="T131" s="197">
        <f t="shared" si="24"/>
        <v>0.32800000000000001</v>
      </c>
      <c r="U131" s="197">
        <f t="shared" si="24"/>
        <v>0.32800000000000001</v>
      </c>
      <c r="V131" s="197">
        <f t="shared" si="24"/>
        <v>0.33650000000000002</v>
      </c>
      <c r="W131" s="197">
        <f t="shared" si="24"/>
        <v>0.33650000000000002</v>
      </c>
      <c r="X131" s="197">
        <f t="shared" si="24"/>
        <v>0.38250000000000001</v>
      </c>
      <c r="Y131" s="197"/>
      <c r="Z131" s="197"/>
      <c r="AA131" s="197"/>
      <c r="AB131" s="10"/>
      <c r="AC131" s="10"/>
      <c r="AD131" s="10"/>
      <c r="AE131" s="10"/>
      <c r="AF131" s="10"/>
      <c r="AG131" s="8"/>
      <c r="AH131" s="8"/>
      <c r="AI131" s="8"/>
      <c r="AJ131" s="8"/>
      <c r="AK131" s="8"/>
      <c r="AL131" s="8"/>
      <c r="AM131" s="8"/>
      <c r="AN131" s="8"/>
      <c r="AO131" s="8"/>
      <c r="AP131" s="8"/>
      <c r="AQ131" s="8"/>
      <c r="AR131" s="8"/>
      <c r="AS131" s="8"/>
      <c r="AT131" s="8"/>
      <c r="AU131" s="8"/>
      <c r="AV131" s="8"/>
      <c r="AW131" s="8"/>
      <c r="AX131" s="8"/>
      <c r="AY131" s="8"/>
      <c r="AZ131" s="8"/>
      <c r="BA131" s="8"/>
      <c r="BB131" s="8"/>
      <c r="BC131" s="8"/>
      <c r="BD131" s="8"/>
      <c r="BE131" s="8"/>
      <c r="BF131" s="8"/>
      <c r="BG131" s="8"/>
      <c r="BH131" s="8"/>
      <c r="BI131" s="8"/>
      <c r="BJ131" s="8"/>
      <c r="BK131" s="8"/>
      <c r="BL131" s="8"/>
    </row>
    <row r="132" spans="1:64" hidden="1">
      <c r="A132" s="197" t="s">
        <v>347</v>
      </c>
      <c r="B132" s="208"/>
      <c r="C132" s="197"/>
      <c r="D132" s="197"/>
      <c r="E132" s="197"/>
      <c r="F132" s="197" t="s">
        <v>300</v>
      </c>
      <c r="G132" s="198">
        <v>2001</v>
      </c>
      <c r="H132" s="197" t="s">
        <v>348</v>
      </c>
      <c r="I132" s="197">
        <f>I125*0.45+0.1*I126+0.45*I127</f>
        <v>0.44800000000000001</v>
      </c>
      <c r="J132" s="197">
        <f t="shared" ref="J132:X132" si="25">J125*0.45+0.1*J126+0.45*J127</f>
        <v>0.38700000000000001</v>
      </c>
      <c r="K132" s="197">
        <f t="shared" si="25"/>
        <v>0.5</v>
      </c>
      <c r="L132" s="197">
        <f t="shared" si="25"/>
        <v>0.5</v>
      </c>
      <c r="M132" s="197">
        <f t="shared" si="25"/>
        <v>0.5</v>
      </c>
      <c r="N132" s="197">
        <f t="shared" si="25"/>
        <v>0.46650000000000003</v>
      </c>
      <c r="O132" s="197">
        <f t="shared" si="25"/>
        <v>0.46650000000000003</v>
      </c>
      <c r="P132" s="197">
        <f t="shared" si="25"/>
        <v>0.46650000000000003</v>
      </c>
      <c r="Q132" s="197">
        <f t="shared" si="25"/>
        <v>0.46650000000000003</v>
      </c>
      <c r="R132" s="197">
        <f t="shared" si="25"/>
        <v>0.38700000000000001</v>
      </c>
      <c r="S132" s="197">
        <f t="shared" si="25"/>
        <v>0.38700000000000001</v>
      </c>
      <c r="T132" s="197">
        <f t="shared" si="25"/>
        <v>0.38700000000000001</v>
      </c>
      <c r="U132" s="197">
        <f t="shared" si="25"/>
        <v>0.38700000000000001</v>
      </c>
      <c r="V132" s="197">
        <f t="shared" si="25"/>
        <v>0.38700000000000001</v>
      </c>
      <c r="W132" s="197">
        <f t="shared" si="25"/>
        <v>0.38700000000000001</v>
      </c>
      <c r="X132" s="197">
        <f t="shared" si="25"/>
        <v>0.44800000000000001</v>
      </c>
      <c r="Y132" s="197"/>
      <c r="Z132" s="197"/>
      <c r="AA132" s="197"/>
      <c r="AB132" s="10"/>
      <c r="AC132" s="10"/>
      <c r="AD132" s="10"/>
      <c r="AE132" s="10"/>
      <c r="AF132" s="10"/>
      <c r="AG132" s="8"/>
      <c r="AH132" s="8"/>
      <c r="AI132" s="8"/>
      <c r="AJ132" s="8"/>
      <c r="AK132" s="8"/>
      <c r="AL132" s="8"/>
      <c r="AM132" s="8"/>
      <c r="AN132" s="8"/>
      <c r="AO132" s="8"/>
      <c r="AP132" s="8"/>
      <c r="AQ132" s="8"/>
      <c r="AR132" s="8"/>
      <c r="AS132" s="8"/>
      <c r="AT132" s="8"/>
      <c r="AU132" s="8"/>
      <c r="AV132" s="8"/>
      <c r="AW132" s="8"/>
      <c r="AX132" s="8"/>
      <c r="AY132" s="8"/>
      <c r="AZ132" s="8"/>
      <c r="BA132" s="8"/>
      <c r="BB132" s="8"/>
      <c r="BC132" s="8"/>
      <c r="BD132" s="8"/>
      <c r="BE132" s="8"/>
      <c r="BF132" s="8"/>
      <c r="BG132" s="8"/>
      <c r="BH132" s="8"/>
      <c r="BI132" s="8"/>
      <c r="BJ132" s="8"/>
      <c r="BK132" s="8"/>
      <c r="BL132" s="8"/>
    </row>
    <row r="133" spans="1:64" hidden="1">
      <c r="A133" s="197"/>
      <c r="B133" s="208"/>
      <c r="C133" s="197"/>
      <c r="D133" s="197"/>
      <c r="E133" s="197"/>
      <c r="F133" s="197"/>
      <c r="G133" s="198"/>
      <c r="H133" s="197"/>
      <c r="I133" s="197"/>
      <c r="J133" s="197"/>
      <c r="K133" s="197"/>
      <c r="L133" s="197"/>
      <c r="M133" s="197"/>
      <c r="N133" s="197"/>
      <c r="O133" s="197"/>
      <c r="P133" s="197"/>
      <c r="Q133" s="197"/>
      <c r="R133" s="197"/>
      <c r="S133" s="197"/>
      <c r="T133" s="197"/>
      <c r="U133" s="197"/>
      <c r="V133" s="197"/>
      <c r="W133" s="197"/>
      <c r="X133" s="197"/>
      <c r="Y133" s="197"/>
      <c r="Z133" s="197"/>
      <c r="AA133" s="197"/>
      <c r="AB133" s="10"/>
      <c r="AC133" s="10"/>
      <c r="AD133" s="10"/>
      <c r="AE133" s="10"/>
      <c r="AF133" s="10"/>
      <c r="AG133" s="8"/>
      <c r="AH133" s="8"/>
      <c r="AI133" s="8"/>
      <c r="AJ133" s="8"/>
      <c r="AK133" s="8"/>
      <c r="AL133" s="8"/>
      <c r="AM133" s="8"/>
      <c r="AN133" s="8"/>
      <c r="AO133" s="8"/>
      <c r="AP133" s="8"/>
      <c r="AQ133" s="8"/>
      <c r="AR133" s="8"/>
      <c r="AS133" s="8"/>
      <c r="AT133" s="8"/>
      <c r="AU133" s="8"/>
      <c r="AV133" s="8"/>
      <c r="AW133" s="8"/>
      <c r="AX133" s="8"/>
      <c r="AY133" s="8"/>
      <c r="AZ133" s="8"/>
      <c r="BA133" s="8"/>
      <c r="BB133" s="8"/>
      <c r="BC133" s="8"/>
      <c r="BD133" s="8"/>
      <c r="BE133" s="8"/>
      <c r="BF133" s="8"/>
      <c r="BG133" s="8"/>
      <c r="BH133" s="8"/>
      <c r="BI133" s="8"/>
      <c r="BJ133" s="8"/>
      <c r="BK133" s="8"/>
      <c r="BL133" s="8"/>
    </row>
    <row r="134" spans="1:64" hidden="1">
      <c r="A134" s="10"/>
      <c r="B134" s="15"/>
      <c r="C134" s="10"/>
      <c r="D134" s="10"/>
      <c r="E134" s="10"/>
      <c r="F134" s="10"/>
      <c r="G134" s="779"/>
      <c r="H134" s="10"/>
      <c r="I134" s="10"/>
      <c r="J134" s="10"/>
      <c r="K134" s="10"/>
      <c r="L134" s="10"/>
      <c r="M134" s="10"/>
      <c r="N134" s="10"/>
      <c r="O134" s="10"/>
      <c r="P134" s="10"/>
      <c r="Q134" s="10"/>
      <c r="R134" s="10"/>
      <c r="S134" s="10"/>
      <c r="T134" s="10"/>
      <c r="U134" s="10"/>
      <c r="V134" s="10"/>
      <c r="W134" s="10"/>
      <c r="X134" s="10"/>
      <c r="Y134" s="10"/>
      <c r="Z134" s="10"/>
      <c r="AA134" s="10"/>
      <c r="AB134" s="10"/>
      <c r="AC134" s="10"/>
      <c r="AD134" s="10"/>
      <c r="AE134" s="10"/>
      <c r="AF134" s="10"/>
      <c r="AG134" s="8"/>
      <c r="AH134" s="8"/>
      <c r="AI134" s="8"/>
      <c r="AJ134" s="8"/>
      <c r="AK134" s="8"/>
      <c r="AL134" s="8"/>
      <c r="AM134" s="8"/>
      <c r="AN134" s="8"/>
      <c r="AO134" s="8"/>
      <c r="AP134" s="8"/>
      <c r="AQ134" s="8"/>
      <c r="AR134" s="8"/>
      <c r="AS134" s="8"/>
      <c r="AT134" s="8"/>
      <c r="AU134" s="8"/>
      <c r="AV134" s="8"/>
      <c r="AW134" s="8"/>
      <c r="AX134" s="8"/>
      <c r="AY134" s="8"/>
      <c r="AZ134" s="8"/>
      <c r="BA134" s="8"/>
      <c r="BB134" s="8"/>
      <c r="BC134" s="8"/>
      <c r="BD134" s="8"/>
      <c r="BE134" s="8"/>
      <c r="BF134" s="8"/>
      <c r="BG134" s="8"/>
      <c r="BH134" s="8"/>
      <c r="BI134" s="8"/>
      <c r="BJ134" s="8"/>
      <c r="BK134" s="8"/>
      <c r="BL134" s="8"/>
    </row>
    <row r="135" spans="1:64" hidden="1">
      <c r="A135" s="10"/>
      <c r="B135" s="15"/>
      <c r="C135" s="10"/>
      <c r="D135" s="10"/>
      <c r="E135" s="10"/>
      <c r="F135" s="10"/>
      <c r="G135" s="779"/>
      <c r="H135" s="10"/>
      <c r="I135" s="10"/>
      <c r="J135" s="10"/>
      <c r="K135" s="10"/>
      <c r="L135" s="10"/>
      <c r="M135" s="10"/>
      <c r="N135" s="10"/>
      <c r="O135" s="10"/>
      <c r="P135" s="10"/>
      <c r="Q135" s="10"/>
      <c r="R135" s="10"/>
      <c r="S135" s="10"/>
      <c r="T135" s="10"/>
      <c r="U135" s="10"/>
      <c r="V135" s="10"/>
      <c r="W135" s="10"/>
      <c r="X135" s="10"/>
      <c r="Y135" s="10"/>
      <c r="Z135" s="10"/>
      <c r="AA135" s="10"/>
      <c r="AB135" s="10"/>
      <c r="AC135" s="10"/>
      <c r="AD135" s="10"/>
      <c r="AE135" s="10"/>
      <c r="AF135" s="10"/>
      <c r="AG135" s="8"/>
      <c r="AH135" s="8"/>
      <c r="AI135" s="8"/>
      <c r="AJ135" s="8"/>
      <c r="AK135" s="8"/>
      <c r="AL135" s="8"/>
      <c r="AM135" s="8"/>
      <c r="AN135" s="8"/>
      <c r="AO135" s="8"/>
      <c r="AP135" s="8"/>
      <c r="AQ135" s="8"/>
      <c r="AR135" s="8"/>
      <c r="AS135" s="8"/>
      <c r="AT135" s="8"/>
      <c r="AU135" s="8"/>
      <c r="AV135" s="8"/>
      <c r="AW135" s="8"/>
      <c r="AX135" s="8"/>
      <c r="AY135" s="8"/>
      <c r="AZ135" s="8"/>
      <c r="BA135" s="8"/>
      <c r="BB135" s="8"/>
      <c r="BC135" s="8"/>
      <c r="BD135" s="8"/>
      <c r="BE135" s="8"/>
      <c r="BF135" s="8"/>
      <c r="BG135" s="8"/>
      <c r="BH135" s="8"/>
      <c r="BI135" s="8"/>
      <c r="BJ135" s="8"/>
      <c r="BK135" s="8"/>
      <c r="BL135" s="8"/>
    </row>
    <row r="136" spans="1:64" hidden="1">
      <c r="A136" s="218" t="s">
        <v>349</v>
      </c>
      <c r="B136" s="219"/>
      <c r="C136" s="220"/>
      <c r="D136" s="220"/>
      <c r="E136" s="10"/>
      <c r="F136" s="10"/>
      <c r="G136" s="779"/>
      <c r="H136" s="10"/>
      <c r="I136" s="10"/>
      <c r="J136" s="10"/>
      <c r="K136" s="10"/>
      <c r="L136" s="10"/>
      <c r="M136" s="10"/>
      <c r="N136" s="10"/>
      <c r="O136" s="10"/>
      <c r="P136" s="10"/>
      <c r="Q136" s="10"/>
      <c r="R136" s="10"/>
      <c r="S136" s="10"/>
      <c r="T136" s="10"/>
      <c r="U136" s="10"/>
      <c r="V136" s="10"/>
      <c r="W136" s="10"/>
      <c r="X136" s="10"/>
      <c r="Y136" s="10"/>
      <c r="Z136" s="10"/>
      <c r="AA136" s="10"/>
      <c r="AB136" s="10"/>
      <c r="AC136" s="10"/>
      <c r="AD136" s="10"/>
      <c r="AE136" s="10"/>
      <c r="AF136" s="10"/>
      <c r="AG136" s="8"/>
      <c r="AH136" s="8"/>
      <c r="AI136" s="8"/>
      <c r="AJ136" s="8"/>
      <c r="AK136" s="8"/>
      <c r="AL136" s="8"/>
      <c r="AM136" s="8"/>
      <c r="AN136" s="8"/>
      <c r="AO136" s="8"/>
      <c r="AP136" s="8"/>
      <c r="AQ136" s="8"/>
      <c r="AR136" s="8"/>
      <c r="AS136" s="8"/>
      <c r="AT136" s="8"/>
      <c r="AU136" s="8"/>
      <c r="AV136" s="8"/>
      <c r="AW136" s="8"/>
      <c r="AX136" s="8"/>
      <c r="AY136" s="8"/>
      <c r="AZ136" s="8"/>
      <c r="BA136" s="8"/>
      <c r="BB136" s="8"/>
      <c r="BC136" s="8"/>
      <c r="BD136" s="8"/>
      <c r="BE136" s="8"/>
      <c r="BF136" s="8"/>
      <c r="BG136" s="8"/>
      <c r="BH136" s="8"/>
      <c r="BI136" s="8"/>
      <c r="BJ136" s="8"/>
      <c r="BK136" s="8"/>
      <c r="BL136" s="8"/>
    </row>
    <row r="137" spans="1:64" ht="26.45" hidden="1">
      <c r="A137" s="122"/>
      <c r="B137" s="168" t="s">
        <v>350</v>
      </c>
      <c r="C137" s="121" t="s">
        <v>300</v>
      </c>
      <c r="D137" s="121" t="s">
        <v>233</v>
      </c>
      <c r="E137" s="10"/>
      <c r="F137" s="10"/>
      <c r="G137" s="779"/>
      <c r="H137" s="10"/>
      <c r="I137" s="10"/>
      <c r="J137" s="10"/>
      <c r="K137" s="10"/>
      <c r="L137" s="10"/>
      <c r="M137" s="10"/>
      <c r="N137" s="10"/>
      <c r="O137" s="10"/>
      <c r="P137" s="10"/>
      <c r="Q137" s="10"/>
      <c r="R137" s="10"/>
      <c r="S137" s="10"/>
      <c r="T137" s="10"/>
      <c r="U137" s="10"/>
      <c r="V137" s="10"/>
      <c r="W137" s="10"/>
      <c r="X137" s="10"/>
      <c r="Y137" s="10"/>
      <c r="Z137" s="10"/>
      <c r="AA137" s="10"/>
      <c r="AB137" s="10"/>
      <c r="AC137" s="10"/>
      <c r="AD137" s="10"/>
      <c r="AE137" s="10"/>
      <c r="AF137" s="10"/>
      <c r="AG137" s="8"/>
      <c r="AH137" s="8"/>
      <c r="AI137" s="8"/>
      <c r="AJ137" s="8"/>
      <c r="AK137" s="8"/>
      <c r="AL137" s="8"/>
      <c r="AM137" s="8"/>
      <c r="AN137" s="8"/>
      <c r="AO137" s="8"/>
      <c r="AP137" s="8"/>
      <c r="AQ137" s="8"/>
      <c r="AR137" s="8"/>
      <c r="AS137" s="8"/>
      <c r="AT137" s="8"/>
      <c r="AU137" s="8"/>
      <c r="AV137" s="8"/>
      <c r="AW137" s="8"/>
      <c r="AX137" s="8"/>
      <c r="AY137" s="8"/>
      <c r="AZ137" s="8"/>
      <c r="BA137" s="8"/>
      <c r="BB137" s="8"/>
      <c r="BC137" s="8"/>
      <c r="BD137" s="8"/>
      <c r="BE137" s="8"/>
      <c r="BF137" s="8"/>
      <c r="BG137" s="8"/>
      <c r="BH137" s="8"/>
      <c r="BI137" s="8"/>
      <c r="BJ137" s="8"/>
      <c r="BK137" s="8"/>
      <c r="BL137" s="8"/>
    </row>
    <row r="138" spans="1:64" hidden="1">
      <c r="A138" s="168" t="s">
        <v>351</v>
      </c>
      <c r="B138" s="169">
        <v>1.1200000000000001</v>
      </c>
      <c r="C138" s="170">
        <v>0.78</v>
      </c>
      <c r="D138" s="121" t="s">
        <v>352</v>
      </c>
      <c r="E138" s="10"/>
      <c r="F138" s="10"/>
      <c r="G138" s="779"/>
      <c r="H138" s="10"/>
      <c r="I138" s="10"/>
      <c r="J138" s="10"/>
      <c r="K138" s="10"/>
      <c r="L138" s="10"/>
      <c r="M138" s="10"/>
      <c r="N138" s="10"/>
      <c r="O138" s="10"/>
      <c r="P138" s="10"/>
      <c r="Q138" s="10"/>
      <c r="R138" s="10"/>
      <c r="S138" s="10"/>
      <c r="T138" s="10"/>
      <c r="U138" s="10"/>
      <c r="V138" s="10"/>
      <c r="W138" s="10"/>
      <c r="X138" s="10"/>
      <c r="Y138" s="10"/>
      <c r="Z138" s="10"/>
      <c r="AA138" s="10"/>
      <c r="AB138" s="10"/>
      <c r="AC138" s="10"/>
      <c r="AD138" s="10"/>
      <c r="AE138" s="10"/>
      <c r="AF138" s="10"/>
      <c r="AG138" s="8"/>
      <c r="AH138" s="8"/>
      <c r="AI138" s="8"/>
      <c r="AJ138" s="8"/>
      <c r="AK138" s="8"/>
      <c r="AL138" s="8"/>
      <c r="AM138" s="8"/>
      <c r="AN138" s="8"/>
      <c r="AO138" s="8"/>
      <c r="AP138" s="8"/>
      <c r="AQ138" s="8"/>
      <c r="AR138" s="8"/>
      <c r="AS138" s="8"/>
      <c r="AT138" s="8"/>
      <c r="AU138" s="8"/>
      <c r="AV138" s="8"/>
      <c r="AW138" s="8"/>
      <c r="AX138" s="8"/>
      <c r="AY138" s="8"/>
      <c r="AZ138" s="8"/>
      <c r="BA138" s="8"/>
      <c r="BB138" s="8"/>
      <c r="BC138" s="8"/>
      <c r="BD138" s="8"/>
      <c r="BE138" s="8"/>
      <c r="BF138" s="8"/>
      <c r="BG138" s="8"/>
      <c r="BH138" s="8"/>
      <c r="BI138" s="8"/>
      <c r="BJ138" s="8"/>
      <c r="BK138" s="8"/>
      <c r="BL138" s="8"/>
    </row>
    <row r="139" spans="1:64" hidden="1">
      <c r="A139" s="121" t="s">
        <v>353</v>
      </c>
      <c r="B139" s="169">
        <v>1.23</v>
      </c>
      <c r="C139" s="170">
        <v>0.79</v>
      </c>
      <c r="D139" s="121" t="s">
        <v>354</v>
      </c>
      <c r="E139" s="10"/>
      <c r="F139" s="10"/>
      <c r="G139" s="779"/>
      <c r="H139" s="10"/>
      <c r="I139" s="10"/>
      <c r="J139" s="10"/>
      <c r="K139" s="10"/>
      <c r="L139" s="10"/>
      <c r="M139" s="10"/>
      <c r="N139" s="10"/>
      <c r="O139" s="10"/>
      <c r="P139" s="10"/>
      <c r="Q139" s="10"/>
      <c r="R139" s="10"/>
      <c r="S139" s="10"/>
      <c r="T139" s="10"/>
      <c r="U139" s="10"/>
      <c r="V139" s="10"/>
      <c r="W139" s="10"/>
      <c r="X139" s="10"/>
      <c r="Y139" s="10"/>
      <c r="Z139" s="10"/>
      <c r="AA139" s="10"/>
      <c r="AB139" s="10"/>
      <c r="AC139" s="10"/>
      <c r="AD139" s="10"/>
      <c r="AE139" s="10"/>
      <c r="AF139" s="10"/>
      <c r="AG139" s="8"/>
      <c r="AH139" s="8"/>
      <c r="AI139" s="8"/>
      <c r="AJ139" s="8"/>
      <c r="AK139" s="8"/>
      <c r="AL139" s="8"/>
      <c r="AM139" s="8"/>
      <c r="AN139" s="8"/>
      <c r="AO139" s="8"/>
      <c r="AP139" s="8"/>
      <c r="AQ139" s="8"/>
      <c r="AR139" s="8"/>
      <c r="AS139" s="8"/>
      <c r="AT139" s="8"/>
      <c r="AU139" s="8"/>
      <c r="AV139" s="8"/>
      <c r="AW139" s="8"/>
      <c r="AX139" s="8"/>
      <c r="AY139" s="8"/>
      <c r="AZ139" s="8"/>
      <c r="BA139" s="8"/>
      <c r="BB139" s="8"/>
      <c r="BC139" s="8"/>
      <c r="BD139" s="8"/>
      <c r="BE139" s="8"/>
      <c r="BF139" s="8"/>
      <c r="BG139" s="8"/>
      <c r="BH139" s="8"/>
      <c r="BI139" s="8"/>
      <c r="BJ139" s="8"/>
      <c r="BK139" s="8"/>
      <c r="BL139" s="8"/>
    </row>
    <row r="140" spans="1:64" hidden="1">
      <c r="A140" s="10"/>
      <c r="B140" s="15"/>
      <c r="C140" s="10"/>
      <c r="D140" s="10"/>
      <c r="E140" s="10"/>
      <c r="F140" s="10"/>
      <c r="G140" s="779"/>
      <c r="H140" s="10"/>
      <c r="I140" s="10"/>
      <c r="J140" s="10"/>
      <c r="K140" s="10"/>
      <c r="L140" s="10"/>
      <c r="M140" s="10"/>
      <c r="N140" s="10"/>
      <c r="O140" s="10"/>
      <c r="P140" s="10"/>
      <c r="Q140" s="10"/>
      <c r="R140" s="10"/>
      <c r="S140" s="10"/>
      <c r="T140" s="10"/>
      <c r="U140" s="10"/>
      <c r="V140" s="10"/>
      <c r="W140" s="10"/>
      <c r="X140" s="10"/>
      <c r="Y140" s="10"/>
      <c r="Z140" s="10"/>
      <c r="AA140" s="10"/>
      <c r="AB140" s="10"/>
      <c r="AC140" s="10"/>
      <c r="AD140" s="10"/>
      <c r="AE140" s="10"/>
      <c r="AF140" s="10"/>
      <c r="AG140" s="8"/>
      <c r="AH140" s="8"/>
      <c r="AI140" s="8"/>
      <c r="AJ140" s="8"/>
      <c r="AK140" s="8"/>
      <c r="AL140" s="8"/>
      <c r="AM140" s="8"/>
      <c r="AN140" s="8"/>
      <c r="AO140" s="8"/>
      <c r="AP140" s="8"/>
      <c r="AQ140" s="8"/>
      <c r="AR140" s="8"/>
      <c r="AS140" s="8"/>
      <c r="AT140" s="8"/>
      <c r="AU140" s="8"/>
      <c r="AV140" s="8"/>
      <c r="AW140" s="8"/>
      <c r="AX140" s="8"/>
      <c r="AY140" s="8"/>
      <c r="AZ140" s="8"/>
      <c r="BA140" s="8"/>
      <c r="BB140" s="8"/>
      <c r="BC140" s="8"/>
      <c r="BD140" s="8"/>
      <c r="BE140" s="8"/>
      <c r="BF140" s="8"/>
      <c r="BG140" s="8"/>
      <c r="BH140" s="8"/>
      <c r="BI140" s="8"/>
      <c r="BJ140" s="8"/>
      <c r="BK140" s="8"/>
      <c r="BL140" s="8"/>
    </row>
    <row r="141" spans="1:64" hidden="1">
      <c r="A141" s="10"/>
      <c r="B141" s="15"/>
      <c r="C141" s="10"/>
      <c r="D141" s="10"/>
      <c r="E141" s="10"/>
      <c r="F141" s="10"/>
      <c r="G141" s="779"/>
      <c r="H141" s="10"/>
      <c r="I141" s="10"/>
      <c r="J141" s="10"/>
      <c r="K141" s="10"/>
      <c r="L141" s="10"/>
      <c r="M141" s="10"/>
      <c r="N141" s="10"/>
      <c r="O141" s="10"/>
      <c r="P141" s="10"/>
      <c r="Q141" s="10"/>
      <c r="R141" s="10"/>
      <c r="S141" s="10"/>
      <c r="T141" s="10"/>
      <c r="U141" s="10"/>
      <c r="V141" s="10"/>
      <c r="W141" s="10"/>
      <c r="X141" s="10"/>
      <c r="Y141" s="10"/>
      <c r="Z141" s="10"/>
      <c r="AA141" s="10"/>
      <c r="AB141" s="10"/>
      <c r="AC141" s="10"/>
      <c r="AD141" s="10"/>
      <c r="AE141" s="10"/>
      <c r="AF141" s="10"/>
      <c r="AG141" s="8"/>
      <c r="AH141" s="8"/>
      <c r="AI141" s="8"/>
      <c r="AJ141" s="8"/>
      <c r="AK141" s="8"/>
      <c r="AL141" s="8"/>
      <c r="AM141" s="8"/>
      <c r="AN141" s="8"/>
      <c r="AO141" s="8"/>
      <c r="AP141" s="8"/>
      <c r="AQ141" s="8"/>
      <c r="AR141" s="8"/>
      <c r="AS141" s="8"/>
      <c r="AT141" s="8"/>
      <c r="AU141" s="8"/>
      <c r="AV141" s="8"/>
      <c r="AW141" s="8"/>
      <c r="AX141" s="8"/>
      <c r="AY141" s="8"/>
      <c r="AZ141" s="8"/>
      <c r="BA141" s="8"/>
      <c r="BB141" s="8"/>
      <c r="BC141" s="8"/>
      <c r="BD141" s="8"/>
      <c r="BE141" s="8"/>
      <c r="BF141" s="8"/>
      <c r="BG141" s="8"/>
      <c r="BH141" s="8"/>
      <c r="BI141" s="8"/>
      <c r="BJ141" s="8"/>
      <c r="BK141" s="8"/>
      <c r="BL141" s="8"/>
    </row>
    <row r="142" spans="1:64" hidden="1">
      <c r="A142" s="10"/>
      <c r="B142" s="15"/>
      <c r="C142" s="10"/>
      <c r="D142" s="10"/>
      <c r="E142" s="10"/>
      <c r="F142" s="10"/>
      <c r="G142" s="779"/>
      <c r="H142" s="10"/>
      <c r="I142" s="10"/>
      <c r="J142" s="10"/>
      <c r="K142" s="10"/>
      <c r="L142" s="10"/>
      <c r="M142" s="10"/>
      <c r="N142" s="10"/>
      <c r="O142" s="10"/>
      <c r="P142" s="10"/>
      <c r="Q142" s="10"/>
      <c r="R142" s="10"/>
      <c r="S142" s="10"/>
      <c r="T142" s="10"/>
      <c r="U142" s="10"/>
      <c r="V142" s="10"/>
      <c r="W142" s="10"/>
      <c r="X142" s="10"/>
      <c r="Y142" s="10"/>
      <c r="Z142" s="10"/>
      <c r="AA142" s="10"/>
      <c r="AB142" s="10"/>
      <c r="AC142" s="10"/>
      <c r="AD142" s="10"/>
      <c r="AE142" s="10"/>
      <c r="AF142" s="10"/>
      <c r="AG142" s="8"/>
      <c r="AH142" s="8"/>
      <c r="AI142" s="8"/>
      <c r="AJ142" s="8"/>
      <c r="AK142" s="8"/>
      <c r="AL142" s="8"/>
      <c r="AM142" s="8"/>
      <c r="AN142" s="8"/>
      <c r="AO142" s="8"/>
      <c r="AP142" s="8"/>
      <c r="AQ142" s="8"/>
      <c r="AR142" s="8"/>
      <c r="AS142" s="8"/>
      <c r="AT142" s="8"/>
      <c r="AU142" s="8"/>
      <c r="AV142" s="8"/>
      <c r="AW142" s="8"/>
      <c r="AX142" s="8"/>
      <c r="AY142" s="8"/>
      <c r="AZ142" s="8"/>
      <c r="BA142" s="8"/>
      <c r="BB142" s="8"/>
      <c r="BC142" s="8"/>
      <c r="BD142" s="8"/>
      <c r="BE142" s="8"/>
      <c r="BF142" s="8"/>
      <c r="BG142" s="8"/>
      <c r="BH142" s="8"/>
      <c r="BI142" s="8"/>
      <c r="BJ142" s="8"/>
      <c r="BK142" s="8"/>
      <c r="BL142" s="8"/>
    </row>
    <row r="143" spans="1:64" hidden="1">
      <c r="A143" s="10"/>
      <c r="B143" s="15"/>
      <c r="C143" s="10"/>
      <c r="D143" s="10"/>
      <c r="E143" s="10"/>
      <c r="F143" s="10"/>
      <c r="G143" s="779"/>
      <c r="H143" s="10"/>
      <c r="I143" s="10"/>
      <c r="J143" s="10"/>
      <c r="K143" s="10"/>
      <c r="L143" s="10"/>
      <c r="M143" s="10"/>
      <c r="N143" s="10"/>
      <c r="O143" s="10"/>
      <c r="P143" s="10"/>
      <c r="Q143" s="10"/>
      <c r="R143" s="10"/>
      <c r="S143" s="10"/>
      <c r="T143" s="10"/>
      <c r="U143" s="10"/>
      <c r="V143" s="10"/>
      <c r="W143" s="10"/>
      <c r="X143" s="10"/>
      <c r="Y143" s="10"/>
      <c r="Z143" s="10"/>
      <c r="AA143" s="10"/>
      <c r="AB143" s="10"/>
      <c r="AC143" s="10"/>
      <c r="AD143" s="10"/>
      <c r="AE143" s="10"/>
      <c r="AF143" s="10"/>
      <c r="AG143" s="8"/>
      <c r="AH143" s="8"/>
      <c r="AI143" s="8"/>
      <c r="AJ143" s="8"/>
      <c r="AK143" s="8"/>
      <c r="AL143" s="8"/>
      <c r="AM143" s="8"/>
      <c r="AN143" s="8"/>
      <c r="AO143" s="8"/>
      <c r="AP143" s="8"/>
      <c r="AQ143" s="8"/>
      <c r="AR143" s="8"/>
      <c r="AS143" s="8"/>
      <c r="AT143" s="8"/>
      <c r="AU143" s="8"/>
      <c r="AV143" s="8"/>
      <c r="AW143" s="8"/>
      <c r="AX143" s="8"/>
      <c r="AY143" s="8"/>
      <c r="AZ143" s="8"/>
      <c r="BA143" s="8"/>
      <c r="BB143" s="8"/>
      <c r="BC143" s="8"/>
      <c r="BD143" s="8"/>
      <c r="BE143" s="8"/>
      <c r="BF143" s="8"/>
      <c r="BG143" s="8"/>
      <c r="BH143" s="8"/>
      <c r="BI143" s="8"/>
      <c r="BJ143" s="8"/>
      <c r="BK143" s="8"/>
      <c r="BL143" s="8"/>
    </row>
    <row r="144" spans="1:64" hidden="1">
      <c r="A144" s="10"/>
      <c r="B144" s="15"/>
      <c r="C144" s="10"/>
      <c r="D144" s="10"/>
      <c r="E144" s="10"/>
      <c r="F144" s="10"/>
      <c r="G144" s="779"/>
      <c r="H144" s="10"/>
      <c r="I144" s="10"/>
      <c r="J144" s="10"/>
      <c r="K144" s="10"/>
      <c r="L144" s="10"/>
      <c r="M144" s="10"/>
      <c r="N144" s="10"/>
      <c r="O144" s="10"/>
      <c r="P144" s="10"/>
      <c r="Q144" s="10"/>
      <c r="R144" s="10"/>
      <c r="S144" s="10"/>
      <c r="T144" s="10"/>
      <c r="U144" s="10"/>
      <c r="V144" s="10"/>
      <c r="W144" s="10"/>
      <c r="X144" s="10"/>
      <c r="Y144" s="10"/>
      <c r="Z144" s="10"/>
      <c r="AA144" s="10"/>
      <c r="AB144" s="10"/>
      <c r="AC144" s="10"/>
      <c r="AD144" s="10"/>
      <c r="AE144" s="10"/>
      <c r="AF144" s="10"/>
      <c r="AG144" s="8"/>
      <c r="AH144" s="8"/>
      <c r="AI144" s="8"/>
      <c r="AJ144" s="8"/>
      <c r="AK144" s="8"/>
      <c r="AL144" s="8"/>
      <c r="AM144" s="8"/>
      <c r="AN144" s="8"/>
      <c r="AO144" s="8"/>
      <c r="AP144" s="8"/>
      <c r="AQ144" s="8"/>
      <c r="AR144" s="8"/>
      <c r="AS144" s="8"/>
      <c r="AT144" s="8"/>
      <c r="AU144" s="8"/>
      <c r="AV144" s="8"/>
      <c r="AW144" s="8"/>
      <c r="AX144" s="8"/>
      <c r="AY144" s="8"/>
      <c r="AZ144" s="8"/>
      <c r="BA144" s="8"/>
      <c r="BB144" s="8"/>
      <c r="BC144" s="8"/>
      <c r="BD144" s="8"/>
      <c r="BE144" s="8"/>
      <c r="BF144" s="8"/>
      <c r="BG144" s="8"/>
      <c r="BH144" s="8"/>
      <c r="BI144" s="8"/>
      <c r="BJ144" s="8"/>
      <c r="BK144" s="8"/>
      <c r="BL144" s="8"/>
    </row>
    <row r="145" spans="1:64" hidden="1">
      <c r="A145" s="10"/>
      <c r="B145" s="15"/>
      <c r="C145" s="10"/>
      <c r="D145" s="10"/>
      <c r="E145" s="10"/>
      <c r="F145" s="10"/>
      <c r="G145" s="779"/>
      <c r="H145" s="10"/>
      <c r="I145" s="10"/>
      <c r="J145" s="10"/>
      <c r="K145" s="10"/>
      <c r="L145" s="10"/>
      <c r="M145" s="10"/>
      <c r="N145" s="10"/>
      <c r="O145" s="10"/>
      <c r="P145" s="10"/>
      <c r="Q145" s="10"/>
      <c r="R145" s="10"/>
      <c r="S145" s="10"/>
      <c r="T145" s="10"/>
      <c r="U145" s="10"/>
      <c r="V145" s="10"/>
      <c r="W145" s="10"/>
      <c r="X145" s="10"/>
      <c r="Y145" s="10"/>
      <c r="Z145" s="10"/>
      <c r="AA145" s="10"/>
      <c r="AB145" s="10"/>
      <c r="AC145" s="10"/>
      <c r="AD145" s="10"/>
      <c r="AE145" s="10"/>
      <c r="AF145" s="10"/>
      <c r="AG145" s="8"/>
      <c r="AH145" s="8"/>
      <c r="AI145" s="8"/>
      <c r="AJ145" s="8"/>
      <c r="AK145" s="8"/>
      <c r="AL145" s="8"/>
      <c r="AM145" s="8"/>
      <c r="AN145" s="8"/>
      <c r="AO145" s="8"/>
      <c r="AP145" s="8"/>
      <c r="AQ145" s="8"/>
      <c r="AR145" s="8"/>
      <c r="AS145" s="8"/>
      <c r="AT145" s="8"/>
      <c r="AU145" s="8"/>
      <c r="AV145" s="8"/>
      <c r="AW145" s="8"/>
      <c r="AX145" s="8"/>
      <c r="AY145" s="8"/>
      <c r="AZ145" s="8"/>
      <c r="BA145" s="8"/>
      <c r="BB145" s="8"/>
      <c r="BC145" s="8"/>
      <c r="BD145" s="8"/>
      <c r="BE145" s="8"/>
      <c r="BF145" s="8"/>
      <c r="BG145" s="8"/>
      <c r="BH145" s="8"/>
      <c r="BI145" s="8"/>
      <c r="BJ145" s="8"/>
      <c r="BK145" s="8"/>
      <c r="BL145" s="8"/>
    </row>
    <row r="146" spans="1:64" hidden="1">
      <c r="A146" s="10"/>
      <c r="B146" s="15"/>
      <c r="C146" s="10"/>
      <c r="D146" s="10"/>
      <c r="E146" s="10"/>
      <c r="F146" s="10"/>
      <c r="G146" s="779"/>
      <c r="H146" s="10"/>
      <c r="I146" s="10"/>
      <c r="J146" s="10"/>
      <c r="K146" s="10"/>
      <c r="L146" s="10"/>
      <c r="M146" s="10"/>
      <c r="N146" s="10"/>
      <c r="O146" s="10"/>
      <c r="P146" s="10"/>
      <c r="Q146" s="10"/>
      <c r="R146" s="10"/>
      <c r="S146" s="10"/>
      <c r="T146" s="10"/>
      <c r="U146" s="10"/>
      <c r="V146" s="10"/>
      <c r="W146" s="10"/>
      <c r="X146" s="10"/>
      <c r="Y146" s="10"/>
      <c r="Z146" s="10"/>
      <c r="AA146" s="10"/>
      <c r="AB146" s="10"/>
      <c r="AC146" s="10"/>
      <c r="AD146" s="10"/>
      <c r="AE146" s="10"/>
      <c r="AF146" s="10"/>
      <c r="AG146" s="8"/>
      <c r="AH146" s="8"/>
      <c r="AI146" s="8"/>
      <c r="AJ146" s="8"/>
      <c r="AK146" s="8"/>
      <c r="AL146" s="8"/>
      <c r="AM146" s="8"/>
      <c r="AN146" s="8"/>
      <c r="AO146" s="8"/>
      <c r="AP146" s="8"/>
      <c r="AQ146" s="8"/>
      <c r="AR146" s="8"/>
      <c r="AS146" s="8"/>
      <c r="AT146" s="8"/>
      <c r="AU146" s="8"/>
      <c r="AV146" s="8"/>
      <c r="AW146" s="8"/>
      <c r="AX146" s="8"/>
      <c r="AY146" s="8"/>
      <c r="AZ146" s="8"/>
      <c r="BA146" s="8"/>
      <c r="BB146" s="8"/>
      <c r="BC146" s="8"/>
      <c r="BD146" s="8"/>
      <c r="BE146" s="8"/>
      <c r="BF146" s="8"/>
      <c r="BG146" s="8"/>
      <c r="BH146" s="8"/>
      <c r="BI146" s="8"/>
      <c r="BJ146" s="8"/>
      <c r="BK146" s="8"/>
      <c r="BL146" s="8"/>
    </row>
    <row r="147" spans="1:64" hidden="1">
      <c r="A147" s="10"/>
      <c r="B147" s="15"/>
      <c r="C147" s="10"/>
      <c r="D147" s="10"/>
      <c r="E147" s="10"/>
      <c r="F147" s="10"/>
      <c r="G147" s="779"/>
      <c r="H147" s="10"/>
      <c r="I147" s="10"/>
      <c r="J147" s="10"/>
      <c r="K147" s="10"/>
      <c r="L147" s="10"/>
      <c r="M147" s="10"/>
      <c r="N147" s="10"/>
      <c r="O147" s="10"/>
      <c r="P147" s="10"/>
      <c r="Q147" s="10"/>
      <c r="R147" s="10"/>
      <c r="S147" s="10"/>
      <c r="T147" s="10"/>
      <c r="U147" s="10"/>
      <c r="V147" s="10"/>
      <c r="W147" s="10"/>
      <c r="X147" s="10"/>
      <c r="Y147" s="10"/>
      <c r="Z147" s="10"/>
      <c r="AA147" s="10"/>
      <c r="AB147" s="10"/>
      <c r="AC147" s="10"/>
      <c r="AD147" s="10"/>
      <c r="AE147" s="10"/>
      <c r="AF147" s="10"/>
      <c r="AG147" s="8"/>
      <c r="AH147" s="8"/>
      <c r="AI147" s="8"/>
      <c r="AJ147" s="8"/>
      <c r="AK147" s="8"/>
      <c r="AL147" s="8"/>
      <c r="AM147" s="8"/>
      <c r="AN147" s="8"/>
      <c r="AO147" s="8"/>
      <c r="AP147" s="8"/>
      <c r="AQ147" s="8"/>
      <c r="AR147" s="8"/>
      <c r="AS147" s="8"/>
      <c r="AT147" s="8"/>
      <c r="AU147" s="8"/>
      <c r="AV147" s="8"/>
      <c r="AW147" s="8"/>
      <c r="AX147" s="8"/>
      <c r="AY147" s="8"/>
      <c r="AZ147" s="8"/>
      <c r="BA147" s="8"/>
      <c r="BB147" s="8"/>
      <c r="BC147" s="8"/>
      <c r="BD147" s="8"/>
      <c r="BE147" s="8"/>
      <c r="BF147" s="8"/>
      <c r="BG147" s="8"/>
      <c r="BH147" s="8"/>
      <c r="BI147" s="8"/>
      <c r="BJ147" s="8"/>
      <c r="BK147" s="8"/>
      <c r="BL147" s="8"/>
    </row>
    <row r="148" spans="1:64" hidden="1">
      <c r="A148" s="10"/>
      <c r="B148" s="15"/>
      <c r="C148" s="10"/>
      <c r="D148" s="10"/>
      <c r="E148" s="10"/>
      <c r="F148" s="10"/>
      <c r="G148" s="779"/>
      <c r="H148" s="10"/>
      <c r="I148" s="10"/>
      <c r="J148" s="10"/>
      <c r="K148" s="10"/>
      <c r="L148" s="10"/>
      <c r="M148" s="10"/>
      <c r="N148" s="10"/>
      <c r="O148" s="10"/>
      <c r="P148" s="10"/>
      <c r="Q148" s="10"/>
      <c r="R148" s="10"/>
      <c r="S148" s="10"/>
      <c r="T148" s="10"/>
      <c r="U148" s="10"/>
      <c r="V148" s="10"/>
      <c r="W148" s="10"/>
      <c r="X148" s="10"/>
      <c r="Y148" s="10"/>
      <c r="Z148" s="10"/>
      <c r="AA148" s="10"/>
      <c r="AB148" s="10"/>
      <c r="AC148" s="10"/>
      <c r="AD148" s="10"/>
      <c r="AE148" s="10"/>
      <c r="AF148" s="10"/>
      <c r="AG148" s="8"/>
      <c r="AH148" s="8"/>
      <c r="AI148" s="8"/>
      <c r="AJ148" s="8"/>
      <c r="AK148" s="8"/>
      <c r="AL148" s="8"/>
      <c r="AM148" s="8"/>
      <c r="AN148" s="8"/>
      <c r="AO148" s="8"/>
      <c r="AP148" s="8"/>
      <c r="AQ148" s="8"/>
      <c r="AR148" s="8"/>
      <c r="AS148" s="8"/>
      <c r="AT148" s="8"/>
      <c r="AU148" s="8"/>
      <c r="AV148" s="8"/>
      <c r="AW148" s="8"/>
      <c r="AX148" s="8"/>
      <c r="AY148" s="8"/>
      <c r="AZ148" s="8"/>
      <c r="BA148" s="8"/>
      <c r="BB148" s="8"/>
      <c r="BC148" s="8"/>
      <c r="BD148" s="8"/>
      <c r="BE148" s="8"/>
      <c r="BF148" s="8"/>
      <c r="BG148" s="8"/>
      <c r="BH148" s="8"/>
      <c r="BI148" s="8"/>
      <c r="BJ148" s="8"/>
      <c r="BK148" s="8"/>
      <c r="BL148" s="8"/>
    </row>
    <row r="149" spans="1:64" hidden="1">
      <c r="A149" s="10"/>
      <c r="B149" s="15"/>
      <c r="C149" s="10"/>
      <c r="D149" s="10"/>
      <c r="E149" s="10"/>
      <c r="F149" s="10"/>
      <c r="G149" s="779"/>
      <c r="H149" s="10"/>
      <c r="I149" s="10"/>
      <c r="J149" s="10"/>
      <c r="K149" s="10"/>
      <c r="L149" s="10"/>
      <c r="M149" s="10"/>
      <c r="N149" s="10"/>
      <c r="O149" s="10"/>
      <c r="P149" s="10"/>
      <c r="Q149" s="10"/>
      <c r="R149" s="10"/>
      <c r="S149" s="10"/>
      <c r="T149" s="10"/>
      <c r="U149" s="10"/>
      <c r="V149" s="10"/>
      <c r="W149" s="10"/>
      <c r="X149" s="10"/>
      <c r="Y149" s="10"/>
      <c r="Z149" s="10"/>
      <c r="AA149" s="10"/>
      <c r="AB149" s="10"/>
      <c r="AC149" s="10"/>
      <c r="AD149" s="10"/>
      <c r="AE149" s="10"/>
      <c r="AF149" s="10"/>
      <c r="AG149" s="8"/>
      <c r="AH149" s="8"/>
      <c r="AI149" s="8"/>
      <c r="AJ149" s="8"/>
      <c r="AK149" s="8"/>
      <c r="AL149" s="8"/>
      <c r="AM149" s="8"/>
      <c r="AN149" s="8"/>
      <c r="AO149" s="8"/>
      <c r="AP149" s="8"/>
      <c r="AQ149" s="8"/>
      <c r="AR149" s="8"/>
      <c r="AS149" s="8"/>
      <c r="AT149" s="8"/>
      <c r="AU149" s="8"/>
      <c r="AV149" s="8"/>
      <c r="AW149" s="8"/>
      <c r="AX149" s="8"/>
      <c r="AY149" s="8"/>
      <c r="AZ149" s="8"/>
      <c r="BA149" s="8"/>
      <c r="BB149" s="8"/>
      <c r="BC149" s="8"/>
      <c r="BD149" s="8"/>
      <c r="BE149" s="8"/>
      <c r="BF149" s="8"/>
      <c r="BG149" s="8"/>
      <c r="BH149" s="8"/>
      <c r="BI149" s="8"/>
      <c r="BJ149" s="8"/>
      <c r="BK149" s="8"/>
      <c r="BL149" s="8"/>
    </row>
    <row r="150" spans="1:64" hidden="1">
      <c r="A150" s="10"/>
      <c r="B150" s="15"/>
      <c r="C150" s="10"/>
      <c r="D150" s="10"/>
      <c r="E150" s="10"/>
      <c r="F150" s="10"/>
      <c r="G150" s="779"/>
      <c r="H150" s="10"/>
      <c r="I150" s="10"/>
      <c r="J150" s="10"/>
      <c r="K150" s="10"/>
      <c r="L150" s="10"/>
      <c r="M150" s="10"/>
      <c r="N150" s="10"/>
      <c r="O150" s="10"/>
      <c r="P150" s="10"/>
      <c r="Q150" s="10"/>
      <c r="R150" s="10"/>
      <c r="S150" s="10"/>
      <c r="T150" s="10"/>
      <c r="U150" s="10"/>
      <c r="V150" s="10"/>
      <c r="W150" s="10"/>
      <c r="X150" s="10"/>
      <c r="Y150" s="10"/>
      <c r="Z150" s="10"/>
      <c r="AA150" s="10"/>
      <c r="AB150" s="10"/>
      <c r="AC150" s="10"/>
      <c r="AD150" s="10"/>
      <c r="AE150" s="10"/>
      <c r="AF150" s="10"/>
      <c r="AG150" s="8"/>
      <c r="AH150" s="8"/>
      <c r="AI150" s="8"/>
      <c r="AJ150" s="8"/>
      <c r="AK150" s="8"/>
      <c r="AL150" s="8"/>
      <c r="AM150" s="8"/>
      <c r="AN150" s="8"/>
      <c r="AO150" s="8"/>
      <c r="AP150" s="8"/>
      <c r="AQ150" s="8"/>
      <c r="AR150" s="8"/>
      <c r="AS150" s="8"/>
      <c r="AT150" s="8"/>
      <c r="AU150" s="8"/>
      <c r="AV150" s="8"/>
      <c r="AW150" s="8"/>
      <c r="AX150" s="8"/>
      <c r="AY150" s="8"/>
      <c r="AZ150" s="8"/>
      <c r="BA150" s="8"/>
      <c r="BB150" s="8"/>
      <c r="BC150" s="8"/>
      <c r="BD150" s="8"/>
      <c r="BE150" s="8"/>
      <c r="BF150" s="8"/>
      <c r="BG150" s="8"/>
      <c r="BH150" s="8"/>
      <c r="BI150" s="8"/>
      <c r="BJ150" s="8"/>
      <c r="BK150" s="8"/>
      <c r="BL150" s="8"/>
    </row>
    <row r="151" spans="1:64" hidden="1">
      <c r="A151" s="10"/>
      <c r="B151" s="15"/>
      <c r="C151" s="10"/>
      <c r="D151" s="10"/>
      <c r="E151" s="10"/>
      <c r="F151" s="10"/>
      <c r="G151" s="779"/>
      <c r="H151" s="10"/>
      <c r="I151" s="10"/>
      <c r="J151" s="10"/>
      <c r="K151" s="10"/>
      <c r="L151" s="10"/>
      <c r="M151" s="10"/>
      <c r="N151" s="10"/>
      <c r="O151" s="10"/>
      <c r="P151" s="10"/>
      <c r="Q151" s="10"/>
      <c r="R151" s="10"/>
      <c r="S151" s="10"/>
      <c r="T151" s="10"/>
      <c r="U151" s="10"/>
      <c r="V151" s="10"/>
      <c r="W151" s="10"/>
      <c r="X151" s="10"/>
      <c r="Y151" s="10"/>
      <c r="Z151" s="10"/>
      <c r="AA151" s="10"/>
      <c r="AB151" s="10"/>
      <c r="AC151" s="10"/>
      <c r="AD151" s="10"/>
      <c r="AE151" s="10"/>
      <c r="AF151" s="10"/>
      <c r="AG151" s="8"/>
      <c r="AH151" s="8"/>
      <c r="AI151" s="8"/>
      <c r="AJ151" s="8"/>
      <c r="AK151" s="8"/>
      <c r="AL151" s="8"/>
      <c r="AM151" s="8"/>
      <c r="AN151" s="8"/>
      <c r="AO151" s="8"/>
      <c r="AP151" s="8"/>
      <c r="AQ151" s="8"/>
      <c r="AR151" s="8"/>
      <c r="AS151" s="8"/>
      <c r="AT151" s="8"/>
      <c r="AU151" s="8"/>
      <c r="AV151" s="8"/>
      <c r="AW151" s="8"/>
      <c r="AX151" s="8"/>
      <c r="AY151" s="8"/>
      <c r="AZ151" s="8"/>
      <c r="BA151" s="8"/>
      <c r="BB151" s="8"/>
      <c r="BC151" s="8"/>
      <c r="BD151" s="8"/>
      <c r="BE151" s="8"/>
      <c r="BF151" s="8"/>
      <c r="BG151" s="8"/>
      <c r="BH151" s="8"/>
      <c r="BI151" s="8"/>
      <c r="BJ151" s="8"/>
      <c r="BK151" s="8"/>
      <c r="BL151" s="8"/>
    </row>
    <row r="152" spans="1:64" hidden="1">
      <c r="A152" s="10"/>
      <c r="B152" s="15"/>
      <c r="C152" s="10"/>
      <c r="D152" s="10"/>
      <c r="E152" s="10"/>
      <c r="F152" s="10"/>
      <c r="G152" s="779"/>
      <c r="H152" s="10"/>
      <c r="I152" s="10"/>
      <c r="J152" s="10"/>
      <c r="K152" s="10"/>
      <c r="L152" s="10"/>
      <c r="M152" s="10"/>
      <c r="N152" s="10"/>
      <c r="O152" s="10"/>
      <c r="P152" s="10"/>
      <c r="Q152" s="10"/>
      <c r="R152" s="10"/>
      <c r="S152" s="10"/>
      <c r="T152" s="10"/>
      <c r="U152" s="10"/>
      <c r="V152" s="10"/>
      <c r="W152" s="10"/>
      <c r="X152" s="10"/>
      <c r="Y152" s="10"/>
      <c r="Z152" s="10"/>
      <c r="AA152" s="10"/>
      <c r="AB152" s="10"/>
      <c r="AC152" s="10"/>
      <c r="AD152" s="10"/>
      <c r="AE152" s="10"/>
      <c r="AF152" s="10"/>
      <c r="AG152" s="8"/>
      <c r="AH152" s="8"/>
      <c r="AI152" s="8"/>
      <c r="AJ152" s="8"/>
      <c r="AK152" s="8"/>
      <c r="AL152" s="8"/>
      <c r="AM152" s="8"/>
      <c r="AN152" s="8"/>
      <c r="AO152" s="8"/>
      <c r="AP152" s="8"/>
      <c r="AQ152" s="8"/>
      <c r="AR152" s="8"/>
      <c r="AS152" s="8"/>
      <c r="AT152" s="8"/>
      <c r="AU152" s="8"/>
      <c r="AV152" s="8"/>
      <c r="AW152" s="8"/>
      <c r="AX152" s="8"/>
      <c r="AY152" s="8"/>
      <c r="AZ152" s="8"/>
      <c r="BA152" s="8"/>
      <c r="BB152" s="8"/>
      <c r="BC152" s="8"/>
      <c r="BD152" s="8"/>
      <c r="BE152" s="8"/>
      <c r="BF152" s="8"/>
      <c r="BG152" s="8"/>
      <c r="BH152" s="8"/>
      <c r="BI152" s="8"/>
      <c r="BJ152" s="8"/>
      <c r="BK152" s="8"/>
      <c r="BL152" s="8"/>
    </row>
    <row r="153" spans="1:64" hidden="1">
      <c r="A153" s="10"/>
      <c r="B153" s="15"/>
      <c r="C153" s="10"/>
      <c r="D153" s="10"/>
      <c r="E153" s="10"/>
      <c r="F153" s="10"/>
      <c r="G153" s="779"/>
      <c r="H153" s="10"/>
      <c r="I153" s="10"/>
      <c r="J153" s="10"/>
      <c r="K153" s="10"/>
      <c r="L153" s="10"/>
      <c r="M153" s="10"/>
      <c r="N153" s="10"/>
      <c r="O153" s="10"/>
      <c r="P153" s="10"/>
      <c r="Q153" s="10"/>
      <c r="R153" s="10"/>
      <c r="S153" s="10"/>
      <c r="T153" s="10"/>
      <c r="U153" s="10"/>
      <c r="V153" s="10"/>
      <c r="W153" s="10"/>
      <c r="X153" s="10"/>
      <c r="Y153" s="10"/>
      <c r="Z153" s="10"/>
      <c r="AA153" s="10"/>
      <c r="AB153" s="10"/>
      <c r="AC153" s="10"/>
      <c r="AD153" s="10"/>
      <c r="AE153" s="10"/>
      <c r="AF153" s="10"/>
      <c r="AG153" s="8"/>
      <c r="AH153" s="8"/>
      <c r="AI153" s="8"/>
      <c r="AJ153" s="8"/>
      <c r="AK153" s="8"/>
      <c r="AL153" s="8"/>
      <c r="AM153" s="8"/>
      <c r="AN153" s="8"/>
      <c r="AO153" s="8"/>
      <c r="AP153" s="8"/>
      <c r="AQ153" s="8"/>
      <c r="AR153" s="8"/>
      <c r="AS153" s="8"/>
      <c r="AT153" s="8"/>
      <c r="AU153" s="8"/>
      <c r="AV153" s="8"/>
      <c r="AW153" s="8"/>
      <c r="AX153" s="8"/>
      <c r="AY153" s="8"/>
      <c r="AZ153" s="8"/>
      <c r="BA153" s="8"/>
      <c r="BB153" s="8"/>
      <c r="BC153" s="8"/>
      <c r="BD153" s="8"/>
      <c r="BE153" s="8"/>
      <c r="BF153" s="8"/>
      <c r="BG153" s="8"/>
      <c r="BH153" s="8"/>
      <c r="BI153" s="8"/>
      <c r="BJ153" s="8"/>
      <c r="BK153" s="8"/>
      <c r="BL153" s="8"/>
    </row>
    <row r="154" spans="1:64" hidden="1">
      <c r="A154" s="10"/>
      <c r="B154" s="15"/>
      <c r="C154" s="10"/>
      <c r="D154" s="10"/>
      <c r="E154" s="10"/>
      <c r="F154" s="10"/>
      <c r="G154" s="779"/>
      <c r="H154" s="10"/>
      <c r="I154" s="10"/>
      <c r="J154" s="10"/>
      <c r="K154" s="10"/>
      <c r="L154" s="10"/>
      <c r="M154" s="10"/>
      <c r="N154" s="10"/>
      <c r="O154" s="10"/>
      <c r="P154" s="10"/>
      <c r="Q154" s="10"/>
      <c r="R154" s="10"/>
      <c r="S154" s="10"/>
      <c r="T154" s="10"/>
      <c r="U154" s="10"/>
      <c r="V154" s="10"/>
      <c r="W154" s="10"/>
      <c r="X154" s="10"/>
      <c r="Y154" s="10"/>
      <c r="Z154" s="10"/>
      <c r="AA154" s="10"/>
      <c r="AB154" s="10"/>
      <c r="AC154" s="10"/>
      <c r="AD154" s="10"/>
      <c r="AE154" s="10"/>
      <c r="AF154" s="10"/>
      <c r="AG154" s="8"/>
      <c r="AH154" s="8"/>
      <c r="AI154" s="8"/>
      <c r="AJ154" s="8"/>
      <c r="AK154" s="8"/>
      <c r="AL154" s="8"/>
      <c r="AM154" s="8"/>
      <c r="AN154" s="8"/>
      <c r="AO154" s="8"/>
      <c r="AP154" s="8"/>
      <c r="AQ154" s="8"/>
      <c r="AR154" s="8"/>
      <c r="AS154" s="8"/>
      <c r="AT154" s="8"/>
      <c r="AU154" s="8"/>
      <c r="AV154" s="8"/>
      <c r="AW154" s="8"/>
      <c r="AX154" s="8"/>
      <c r="AY154" s="8"/>
      <c r="AZ154" s="8"/>
      <c r="BA154" s="8"/>
      <c r="BB154" s="8"/>
      <c r="BC154" s="8"/>
      <c r="BD154" s="8"/>
      <c r="BE154" s="8"/>
      <c r="BF154" s="8"/>
      <c r="BG154" s="8"/>
      <c r="BH154" s="8"/>
      <c r="BI154" s="8"/>
      <c r="BJ154" s="8"/>
      <c r="BK154" s="8"/>
      <c r="BL154" s="8"/>
    </row>
    <row r="155" spans="1:64" hidden="1">
      <c r="A155" s="10"/>
      <c r="B155" s="15"/>
      <c r="C155" s="10"/>
      <c r="D155" s="10"/>
      <c r="E155" s="10"/>
      <c r="F155" s="10"/>
      <c r="G155" s="779"/>
      <c r="H155" s="10"/>
      <c r="I155" s="10"/>
      <c r="J155" s="10"/>
      <c r="K155" s="10"/>
      <c r="L155" s="10"/>
      <c r="M155" s="10"/>
      <c r="N155" s="10"/>
      <c r="O155" s="10"/>
      <c r="P155" s="10"/>
      <c r="Q155" s="10"/>
      <c r="R155" s="10"/>
      <c r="S155" s="10"/>
      <c r="T155" s="10"/>
      <c r="U155" s="10"/>
      <c r="V155" s="10"/>
      <c r="W155" s="10"/>
      <c r="X155" s="10"/>
      <c r="Y155" s="10"/>
      <c r="Z155" s="10"/>
      <c r="AA155" s="10"/>
      <c r="AB155" s="10"/>
      <c r="AC155" s="10"/>
      <c r="AD155" s="10"/>
      <c r="AE155" s="10"/>
      <c r="AF155" s="10"/>
      <c r="AG155" s="8"/>
      <c r="AH155" s="8"/>
      <c r="AI155" s="8"/>
      <c r="AJ155" s="8"/>
      <c r="AK155" s="8"/>
      <c r="AL155" s="8"/>
      <c r="AM155" s="8"/>
      <c r="AN155" s="8"/>
      <c r="AO155" s="8"/>
      <c r="AP155" s="8"/>
      <c r="AQ155" s="8"/>
      <c r="AR155" s="8"/>
      <c r="AS155" s="8"/>
      <c r="AT155" s="8"/>
      <c r="AU155" s="8"/>
      <c r="AV155" s="8"/>
      <c r="AW155" s="8"/>
      <c r="AX155" s="8"/>
      <c r="AY155" s="8"/>
      <c r="AZ155" s="8"/>
      <c r="BA155" s="8"/>
      <c r="BB155" s="8"/>
      <c r="BC155" s="8"/>
      <c r="BD155" s="8"/>
      <c r="BE155" s="8"/>
      <c r="BF155" s="8"/>
      <c r="BG155" s="8"/>
      <c r="BH155" s="8"/>
      <c r="BI155" s="8"/>
      <c r="BJ155" s="8"/>
      <c r="BK155" s="8"/>
      <c r="BL155" s="8"/>
    </row>
    <row r="156" spans="1:64" hidden="1">
      <c r="A156" s="10"/>
      <c r="B156" s="15"/>
      <c r="C156" s="10"/>
      <c r="D156" s="10"/>
      <c r="E156" s="10"/>
      <c r="F156" s="10"/>
      <c r="G156" s="779"/>
      <c r="H156" s="10"/>
      <c r="I156" s="10"/>
      <c r="J156" s="10"/>
      <c r="K156" s="10"/>
      <c r="L156" s="10"/>
      <c r="M156" s="10"/>
      <c r="N156" s="10"/>
      <c r="O156" s="10"/>
      <c r="P156" s="10"/>
      <c r="Q156" s="10"/>
      <c r="R156" s="10"/>
      <c r="S156" s="10"/>
      <c r="T156" s="10"/>
      <c r="U156" s="10"/>
      <c r="V156" s="10"/>
      <c r="W156" s="10"/>
      <c r="X156" s="10"/>
      <c r="Y156" s="10"/>
      <c r="Z156" s="10"/>
      <c r="AA156" s="10"/>
      <c r="AB156" s="10"/>
      <c r="AC156" s="10"/>
      <c r="AD156" s="10"/>
      <c r="AE156" s="10"/>
      <c r="AF156" s="10"/>
      <c r="AG156" s="8"/>
      <c r="AH156" s="8"/>
      <c r="AI156" s="8"/>
      <c r="AJ156" s="8"/>
      <c r="AK156" s="8"/>
      <c r="AL156" s="8"/>
      <c r="AM156" s="8"/>
      <c r="AN156" s="8"/>
      <c r="AO156" s="8"/>
      <c r="AP156" s="8"/>
      <c r="AQ156" s="8"/>
      <c r="AR156" s="8"/>
      <c r="AS156" s="8"/>
      <c r="AT156" s="8"/>
      <c r="AU156" s="8"/>
      <c r="AV156" s="8"/>
      <c r="AW156" s="8"/>
      <c r="AX156" s="8"/>
      <c r="AY156" s="8"/>
      <c r="AZ156" s="8"/>
      <c r="BA156" s="8"/>
      <c r="BB156" s="8"/>
      <c r="BC156" s="8"/>
      <c r="BD156" s="8"/>
      <c r="BE156" s="8"/>
      <c r="BF156" s="8"/>
      <c r="BG156" s="8"/>
      <c r="BH156" s="8"/>
      <c r="BI156" s="8"/>
      <c r="BJ156" s="8"/>
      <c r="BK156" s="8"/>
      <c r="BL156" s="8"/>
    </row>
    <row r="157" spans="1:64" hidden="1">
      <c r="A157" s="10"/>
      <c r="B157" s="15"/>
      <c r="C157" s="10"/>
      <c r="D157" s="10"/>
      <c r="E157" s="10"/>
      <c r="F157" s="10"/>
      <c r="G157" s="779"/>
      <c r="H157" s="10"/>
      <c r="I157" s="10"/>
      <c r="J157" s="10"/>
      <c r="K157" s="10"/>
      <c r="L157" s="10"/>
      <c r="M157" s="10"/>
      <c r="N157" s="10"/>
      <c r="O157" s="10"/>
      <c r="P157" s="10"/>
      <c r="Q157" s="10"/>
      <c r="R157" s="10"/>
      <c r="S157" s="10"/>
      <c r="T157" s="10"/>
      <c r="U157" s="10"/>
      <c r="V157" s="10"/>
      <c r="W157" s="10"/>
      <c r="X157" s="10"/>
      <c r="Y157" s="10"/>
      <c r="Z157" s="10"/>
      <c r="AA157" s="10"/>
      <c r="AB157" s="10"/>
      <c r="AC157" s="10"/>
      <c r="AD157" s="10"/>
      <c r="AE157" s="10"/>
      <c r="AF157" s="10"/>
      <c r="AG157" s="8"/>
      <c r="AH157" s="8"/>
      <c r="AI157" s="8"/>
      <c r="AJ157" s="8"/>
      <c r="AK157" s="8"/>
      <c r="AL157" s="8"/>
      <c r="AM157" s="8"/>
      <c r="AN157" s="8"/>
      <c r="AO157" s="8"/>
      <c r="AP157" s="8"/>
      <c r="AQ157" s="8"/>
      <c r="AR157" s="8"/>
      <c r="AS157" s="8"/>
      <c r="AT157" s="8"/>
      <c r="AU157" s="8"/>
      <c r="AV157" s="8"/>
      <c r="AW157" s="8"/>
      <c r="AX157" s="8"/>
      <c r="AY157" s="8"/>
      <c r="AZ157" s="8"/>
      <c r="BA157" s="8"/>
      <c r="BB157" s="8"/>
      <c r="BC157" s="8"/>
      <c r="BD157" s="8"/>
      <c r="BE157" s="8"/>
      <c r="BF157" s="8"/>
      <c r="BG157" s="8"/>
      <c r="BH157" s="8"/>
      <c r="BI157" s="8"/>
      <c r="BJ157" s="8"/>
      <c r="BK157" s="8"/>
      <c r="BL157" s="8"/>
    </row>
    <row r="158" spans="1:64" hidden="1">
      <c r="A158" s="8"/>
      <c r="B158" s="186"/>
      <c r="C158" s="8"/>
      <c r="D158" s="8"/>
      <c r="E158" s="8"/>
      <c r="F158" s="8"/>
      <c r="G158" s="113"/>
      <c r="H158" s="8"/>
      <c r="I158" s="8"/>
      <c r="J158" s="8"/>
      <c r="K158" s="8"/>
      <c r="L158" s="8"/>
      <c r="M158" s="8"/>
      <c r="N158" s="8"/>
      <c r="O158" s="8"/>
      <c r="P158" s="8"/>
      <c r="Q158" s="8"/>
      <c r="R158" s="8"/>
      <c r="S158" s="8"/>
      <c r="T158" s="8"/>
      <c r="U158" s="8"/>
      <c r="V158" s="8"/>
      <c r="W158" s="8"/>
      <c r="X158" s="8"/>
      <c r="Y158" s="8"/>
      <c r="Z158" s="8"/>
      <c r="AA158" s="8"/>
      <c r="AB158" s="8"/>
      <c r="AC158" s="8"/>
      <c r="AD158" s="8"/>
      <c r="AE158" s="8"/>
      <c r="AF158" s="8"/>
      <c r="AG158" s="8"/>
      <c r="AH158" s="8"/>
      <c r="AI158" s="8"/>
      <c r="AJ158" s="8"/>
      <c r="AK158" s="8"/>
      <c r="AL158" s="8"/>
      <c r="AM158" s="8"/>
      <c r="AN158" s="8"/>
      <c r="AO158" s="8"/>
      <c r="AP158" s="8"/>
      <c r="AQ158" s="8"/>
      <c r="AR158" s="8"/>
      <c r="AS158" s="8"/>
      <c r="AT158" s="8"/>
      <c r="AU158" s="8"/>
      <c r="AV158" s="8"/>
      <c r="AW158" s="8"/>
      <c r="AX158" s="8"/>
      <c r="AY158" s="8"/>
      <c r="AZ158" s="8"/>
      <c r="BA158" s="8"/>
      <c r="BB158" s="8"/>
      <c r="BC158" s="8"/>
      <c r="BD158" s="8"/>
      <c r="BE158" s="8"/>
      <c r="BF158" s="8"/>
      <c r="BG158" s="8"/>
      <c r="BH158" s="8"/>
      <c r="BI158" s="8"/>
      <c r="BJ158" s="8"/>
      <c r="BK158" s="8"/>
      <c r="BL158" s="8"/>
    </row>
    <row r="159" spans="1:64" hidden="1">
      <c r="A159" s="8"/>
      <c r="B159" s="186"/>
      <c r="C159" s="8"/>
      <c r="D159" s="8"/>
      <c r="E159" s="8"/>
      <c r="F159" s="8"/>
      <c r="G159" s="113"/>
      <c r="H159" s="8"/>
      <c r="I159" s="8"/>
      <c r="J159" s="8"/>
      <c r="K159" s="8"/>
      <c r="L159" s="8"/>
      <c r="M159" s="8"/>
      <c r="N159" s="8"/>
      <c r="O159" s="8"/>
      <c r="P159" s="8"/>
      <c r="Q159" s="8"/>
      <c r="R159" s="8"/>
      <c r="S159" s="8"/>
      <c r="T159" s="8"/>
      <c r="U159" s="8"/>
      <c r="V159" s="8"/>
      <c r="W159" s="8"/>
      <c r="X159" s="8"/>
      <c r="Y159" s="8"/>
      <c r="Z159" s="8"/>
      <c r="AA159" s="8"/>
      <c r="AB159" s="8"/>
      <c r="AC159" s="8"/>
      <c r="AD159" s="8"/>
      <c r="AE159" s="8"/>
      <c r="AF159" s="8"/>
      <c r="AG159" s="8"/>
      <c r="AH159" s="8"/>
      <c r="AI159" s="8"/>
      <c r="AJ159" s="8"/>
      <c r="AK159" s="8"/>
      <c r="AL159" s="8"/>
      <c r="AM159" s="8"/>
      <c r="AN159" s="8"/>
      <c r="AO159" s="8"/>
      <c r="AP159" s="8"/>
      <c r="AQ159" s="8"/>
      <c r="AR159" s="8"/>
      <c r="AS159" s="8"/>
      <c r="AT159" s="8"/>
      <c r="AU159" s="8"/>
      <c r="AV159" s="8"/>
      <c r="AW159" s="8"/>
      <c r="AX159" s="8"/>
      <c r="AY159" s="8"/>
      <c r="AZ159" s="8"/>
      <c r="BA159" s="8"/>
      <c r="BB159" s="8"/>
      <c r="BC159" s="8"/>
      <c r="BD159" s="8"/>
      <c r="BE159" s="8"/>
      <c r="BF159" s="8"/>
      <c r="BG159" s="8"/>
      <c r="BH159" s="8"/>
      <c r="BI159" s="8"/>
      <c r="BJ159" s="8"/>
      <c r="BK159" s="8"/>
      <c r="BL159" s="8"/>
    </row>
    <row r="160" spans="1:64" hidden="1">
      <c r="A160" s="8"/>
      <c r="B160" s="186"/>
      <c r="C160" s="8"/>
      <c r="D160" s="8"/>
      <c r="E160" s="8"/>
      <c r="F160" s="8"/>
      <c r="G160" s="113"/>
      <c r="H160" s="8"/>
      <c r="I160" s="8"/>
      <c r="J160" s="8"/>
      <c r="K160" s="8"/>
      <c r="L160" s="8"/>
      <c r="M160" s="8"/>
      <c r="N160" s="8"/>
      <c r="O160" s="8"/>
      <c r="P160" s="8"/>
      <c r="Q160" s="8"/>
      <c r="R160" s="8"/>
      <c r="S160" s="8"/>
      <c r="T160" s="8"/>
      <c r="U160" s="8"/>
      <c r="V160" s="8"/>
      <c r="W160" s="8"/>
      <c r="X160" s="8"/>
      <c r="Y160" s="8"/>
      <c r="Z160" s="8"/>
      <c r="AA160" s="8"/>
      <c r="AB160" s="8"/>
      <c r="AC160" s="8"/>
      <c r="AD160" s="8"/>
      <c r="AE160" s="8"/>
      <c r="AF160" s="8"/>
      <c r="AG160" s="8"/>
      <c r="AH160" s="8"/>
      <c r="AI160" s="8"/>
      <c r="AJ160" s="8"/>
      <c r="AK160" s="8"/>
      <c r="AL160" s="8"/>
      <c r="AM160" s="8"/>
      <c r="AN160" s="8"/>
      <c r="AO160" s="8"/>
      <c r="AP160" s="8"/>
      <c r="AQ160" s="8"/>
      <c r="AR160" s="8"/>
      <c r="AS160" s="8"/>
      <c r="AT160" s="8"/>
      <c r="AU160" s="8"/>
      <c r="AV160" s="8"/>
      <c r="AW160" s="8"/>
      <c r="AX160" s="8"/>
      <c r="AY160" s="8"/>
      <c r="AZ160" s="8"/>
      <c r="BA160" s="8"/>
      <c r="BB160" s="8"/>
      <c r="BC160" s="8"/>
      <c r="BD160" s="8"/>
      <c r="BE160" s="8"/>
      <c r="BF160" s="8"/>
      <c r="BG160" s="8"/>
      <c r="BH160" s="8"/>
      <c r="BI160" s="8"/>
      <c r="BJ160" s="8"/>
      <c r="BK160" s="8"/>
      <c r="BL160" s="8"/>
    </row>
    <row r="161" spans="1:64" hidden="1">
      <c r="A161" s="8"/>
      <c r="B161" s="186"/>
      <c r="C161" s="8"/>
      <c r="D161" s="8"/>
      <c r="E161" s="8"/>
      <c r="F161" s="8"/>
      <c r="G161" s="113"/>
      <c r="H161" s="8"/>
      <c r="I161" s="8"/>
      <c r="J161" s="8"/>
      <c r="K161" s="8"/>
      <c r="L161" s="8"/>
      <c r="M161" s="8"/>
      <c r="N161" s="8"/>
      <c r="O161" s="8"/>
      <c r="P161" s="8"/>
      <c r="Q161" s="8"/>
      <c r="R161" s="8"/>
      <c r="S161" s="8"/>
      <c r="T161" s="8"/>
      <c r="U161" s="8"/>
      <c r="V161" s="8"/>
      <c r="W161" s="8"/>
      <c r="X161" s="8"/>
      <c r="Y161" s="8"/>
      <c r="Z161" s="8"/>
      <c r="AA161" s="8"/>
      <c r="AB161" s="8"/>
      <c r="AC161" s="8"/>
      <c r="AD161" s="8"/>
      <c r="AE161" s="8"/>
      <c r="AF161" s="8"/>
      <c r="AG161" s="8"/>
      <c r="AH161" s="8"/>
      <c r="AI161" s="8"/>
      <c r="AJ161" s="8"/>
      <c r="AK161" s="8"/>
      <c r="AL161" s="8"/>
      <c r="AM161" s="8"/>
      <c r="AN161" s="8"/>
      <c r="AO161" s="8"/>
      <c r="AP161" s="8"/>
      <c r="AQ161" s="8"/>
      <c r="AR161" s="8"/>
      <c r="AS161" s="8"/>
      <c r="AT161" s="8"/>
      <c r="AU161" s="8"/>
      <c r="AV161" s="8"/>
      <c r="AW161" s="8"/>
      <c r="AX161" s="8"/>
      <c r="AY161" s="8"/>
      <c r="AZ161" s="8"/>
      <c r="BA161" s="8"/>
      <c r="BB161" s="8"/>
      <c r="BC161" s="8"/>
      <c r="BD161" s="8"/>
      <c r="BE161" s="8"/>
      <c r="BF161" s="8"/>
      <c r="BG161" s="8"/>
      <c r="BH161" s="8"/>
      <c r="BI161" s="8"/>
      <c r="BJ161" s="8"/>
      <c r="BK161" s="8"/>
      <c r="BL161" s="8"/>
    </row>
    <row r="162" spans="1:64" hidden="1">
      <c r="A162" s="8"/>
      <c r="B162" s="186"/>
      <c r="C162" s="8"/>
      <c r="D162" s="8"/>
      <c r="E162" s="8"/>
      <c r="F162" s="8"/>
      <c r="G162" s="113"/>
      <c r="H162" s="8"/>
      <c r="I162" s="8"/>
      <c r="J162" s="8"/>
      <c r="K162" s="8"/>
      <c r="L162" s="8"/>
      <c r="M162" s="8"/>
      <c r="N162" s="8"/>
      <c r="O162" s="8"/>
      <c r="P162" s="8"/>
      <c r="Q162" s="8"/>
      <c r="R162" s="8"/>
      <c r="S162" s="8"/>
      <c r="T162" s="8"/>
      <c r="U162" s="8"/>
      <c r="V162" s="8"/>
      <c r="W162" s="8"/>
      <c r="X162" s="8"/>
      <c r="Y162" s="8"/>
      <c r="Z162" s="8"/>
      <c r="AA162" s="8"/>
      <c r="AB162" s="8"/>
      <c r="AC162" s="8"/>
      <c r="AD162" s="8"/>
      <c r="AE162" s="8"/>
      <c r="AF162" s="8"/>
      <c r="AG162" s="8"/>
      <c r="AH162" s="8"/>
      <c r="AI162" s="8"/>
      <c r="AJ162" s="8"/>
      <c r="AK162" s="8"/>
      <c r="AL162" s="8"/>
      <c r="AM162" s="8"/>
      <c r="AN162" s="8"/>
      <c r="AO162" s="8"/>
      <c r="AP162" s="8"/>
      <c r="AQ162" s="8"/>
      <c r="AR162" s="8"/>
      <c r="AS162" s="8"/>
      <c r="AT162" s="8"/>
      <c r="AU162" s="8"/>
      <c r="AV162" s="8"/>
      <c r="AW162" s="8"/>
      <c r="AX162" s="8"/>
      <c r="AY162" s="8"/>
      <c r="AZ162" s="8"/>
      <c r="BA162" s="8"/>
      <c r="BB162" s="8"/>
      <c r="BC162" s="8"/>
      <c r="BD162" s="8"/>
      <c r="BE162" s="8"/>
      <c r="BF162" s="8"/>
      <c r="BG162" s="8"/>
      <c r="BH162" s="8"/>
      <c r="BI162" s="8"/>
      <c r="BJ162" s="8"/>
      <c r="BK162" s="8"/>
      <c r="BL162" s="8"/>
    </row>
    <row r="163" spans="1:64" hidden="1">
      <c r="A163" s="8"/>
      <c r="B163" s="186"/>
      <c r="C163" s="8"/>
      <c r="D163" s="8"/>
      <c r="E163" s="8"/>
      <c r="F163" s="8"/>
      <c r="G163" s="113"/>
      <c r="H163" s="8"/>
      <c r="I163" s="8"/>
      <c r="J163" s="8"/>
      <c r="K163" s="8"/>
      <c r="L163" s="8"/>
      <c r="M163" s="8"/>
      <c r="N163" s="8"/>
      <c r="O163" s="8"/>
      <c r="P163" s="8"/>
      <c r="Q163" s="8"/>
      <c r="R163" s="8"/>
      <c r="S163" s="8"/>
      <c r="T163" s="8"/>
      <c r="U163" s="8"/>
      <c r="V163" s="8"/>
      <c r="W163" s="8"/>
      <c r="X163" s="8"/>
      <c r="Y163" s="8"/>
      <c r="Z163" s="8"/>
      <c r="AA163" s="8"/>
      <c r="AB163" s="8"/>
      <c r="AC163" s="8"/>
      <c r="AD163" s="8"/>
      <c r="AE163" s="8"/>
      <c r="AF163" s="8"/>
      <c r="AG163" s="8"/>
      <c r="AH163" s="8"/>
      <c r="AI163" s="8"/>
      <c r="AJ163" s="8"/>
      <c r="AK163" s="8"/>
      <c r="AL163" s="8"/>
      <c r="AM163" s="8"/>
      <c r="AN163" s="8"/>
      <c r="AO163" s="8"/>
      <c r="AP163" s="8"/>
      <c r="AQ163" s="8"/>
      <c r="AR163" s="8"/>
      <c r="AS163" s="8"/>
      <c r="AT163" s="8"/>
      <c r="AU163" s="8"/>
      <c r="AV163" s="8"/>
      <c r="AW163" s="8"/>
      <c r="AX163" s="8"/>
      <c r="AY163" s="8"/>
      <c r="AZ163" s="8"/>
      <c r="BA163" s="8"/>
      <c r="BB163" s="8"/>
      <c r="BC163" s="8"/>
      <c r="BD163" s="8"/>
      <c r="BE163" s="8"/>
      <c r="BF163" s="8"/>
      <c r="BG163" s="8"/>
      <c r="BH163" s="8"/>
      <c r="BI163" s="8"/>
      <c r="BJ163" s="8"/>
      <c r="BK163" s="8"/>
      <c r="BL163" s="8"/>
    </row>
    <row r="164" spans="1:64" hidden="1">
      <c r="A164" s="8"/>
      <c r="B164" s="186"/>
      <c r="C164" s="8"/>
      <c r="D164" s="8"/>
      <c r="E164" s="8"/>
      <c r="F164" s="8"/>
      <c r="G164" s="113"/>
      <c r="H164" s="8"/>
      <c r="I164" s="8"/>
      <c r="J164" s="8"/>
      <c r="K164" s="8"/>
      <c r="L164" s="8"/>
      <c r="M164" s="8"/>
      <c r="N164" s="8"/>
      <c r="O164" s="8"/>
      <c r="P164" s="8"/>
      <c r="Q164" s="8"/>
      <c r="R164" s="8"/>
      <c r="S164" s="8"/>
      <c r="T164" s="8"/>
      <c r="U164" s="8"/>
      <c r="V164" s="8"/>
      <c r="W164" s="8"/>
      <c r="X164" s="8"/>
      <c r="Y164" s="8"/>
      <c r="Z164" s="8"/>
      <c r="AA164" s="8"/>
      <c r="AB164" s="8"/>
      <c r="AC164" s="8"/>
      <c r="AD164" s="8"/>
      <c r="AE164" s="8"/>
      <c r="AF164" s="8"/>
      <c r="AG164" s="8"/>
      <c r="AH164" s="8"/>
      <c r="AI164" s="8"/>
      <c r="AJ164" s="8"/>
      <c r="AK164" s="8"/>
      <c r="AL164" s="8"/>
      <c r="AM164" s="8"/>
      <c r="AN164" s="8"/>
      <c r="AO164" s="8"/>
      <c r="AP164" s="8"/>
      <c r="AQ164" s="8"/>
      <c r="AR164" s="8"/>
      <c r="AS164" s="8"/>
      <c r="AT164" s="8"/>
      <c r="AU164" s="8"/>
      <c r="AV164" s="8"/>
      <c r="AW164" s="8"/>
      <c r="AX164" s="8"/>
      <c r="AY164" s="8"/>
      <c r="AZ164" s="8"/>
      <c r="BA164" s="8"/>
      <c r="BB164" s="8"/>
      <c r="BC164" s="8"/>
      <c r="BD164" s="8"/>
      <c r="BE164" s="8"/>
      <c r="BF164" s="8"/>
      <c r="BG164" s="8"/>
      <c r="BH164" s="8"/>
      <c r="BI164" s="8"/>
      <c r="BJ164" s="8"/>
      <c r="BK164" s="8"/>
      <c r="BL164" s="8"/>
    </row>
    <row r="165" spans="1:64" hidden="1">
      <c r="A165" s="8"/>
      <c r="B165" s="186"/>
      <c r="C165" s="8"/>
      <c r="D165" s="8"/>
      <c r="E165" s="8"/>
      <c r="F165" s="8"/>
      <c r="G165" s="113"/>
      <c r="H165" s="8"/>
      <c r="I165" s="8"/>
      <c r="J165" s="8"/>
      <c r="K165" s="8"/>
      <c r="L165" s="8"/>
      <c r="M165" s="8"/>
      <c r="N165" s="8"/>
      <c r="O165" s="8"/>
      <c r="P165" s="8"/>
      <c r="Q165" s="8"/>
      <c r="R165" s="8"/>
      <c r="S165" s="8"/>
      <c r="T165" s="8"/>
      <c r="U165" s="8"/>
      <c r="V165" s="8"/>
      <c r="W165" s="8"/>
      <c r="X165" s="8"/>
      <c r="Y165" s="8"/>
      <c r="Z165" s="8"/>
      <c r="AA165" s="8"/>
      <c r="AB165" s="8"/>
      <c r="AC165" s="8"/>
      <c r="AD165" s="8"/>
      <c r="AE165" s="8"/>
      <c r="AF165" s="8"/>
      <c r="AG165" s="8"/>
      <c r="AH165" s="8"/>
      <c r="AI165" s="8"/>
      <c r="AJ165" s="8"/>
      <c r="AK165" s="8"/>
      <c r="AL165" s="8"/>
      <c r="AM165" s="8"/>
      <c r="AN165" s="8"/>
      <c r="AO165" s="8"/>
      <c r="AP165" s="8"/>
      <c r="AQ165" s="8"/>
      <c r="AR165" s="8"/>
      <c r="AS165" s="8"/>
      <c r="AT165" s="8"/>
      <c r="AU165" s="8"/>
      <c r="AV165" s="8"/>
      <c r="AW165" s="8"/>
      <c r="AX165" s="8"/>
      <c r="AY165" s="8"/>
      <c r="AZ165" s="8"/>
      <c r="BA165" s="8"/>
      <c r="BB165" s="8"/>
      <c r="BC165" s="8"/>
      <c r="BD165" s="8"/>
      <c r="BE165" s="8"/>
      <c r="BF165" s="8"/>
      <c r="BG165" s="8"/>
      <c r="BH165" s="8"/>
      <c r="BI165" s="8"/>
      <c r="BJ165" s="8"/>
      <c r="BK165" s="8"/>
      <c r="BL165" s="8"/>
    </row>
    <row r="166" spans="1:64" hidden="1">
      <c r="A166" s="8"/>
      <c r="B166" s="186"/>
      <c r="C166" s="8"/>
      <c r="D166" s="8"/>
      <c r="E166" s="8"/>
      <c r="F166" s="8"/>
      <c r="G166" s="113"/>
      <c r="H166" s="8"/>
      <c r="I166" s="8"/>
      <c r="J166" s="8"/>
      <c r="K166" s="8"/>
      <c r="L166" s="8"/>
      <c r="M166" s="8"/>
      <c r="N166" s="8"/>
      <c r="O166" s="8"/>
      <c r="P166" s="8"/>
      <c r="Q166" s="8"/>
      <c r="R166" s="8"/>
      <c r="S166" s="8"/>
      <c r="T166" s="8"/>
      <c r="U166" s="8"/>
      <c r="V166" s="8"/>
      <c r="W166" s="8"/>
      <c r="X166" s="8"/>
      <c r="Y166" s="8"/>
      <c r="Z166" s="8"/>
      <c r="AA166" s="8"/>
      <c r="AB166" s="8"/>
      <c r="AC166" s="8"/>
      <c r="AD166" s="8"/>
      <c r="AE166" s="8"/>
      <c r="AF166" s="8"/>
      <c r="AG166" s="8"/>
      <c r="AH166" s="8"/>
      <c r="AI166" s="8"/>
      <c r="AJ166" s="8"/>
      <c r="AK166" s="8"/>
      <c r="AL166" s="8"/>
      <c r="AM166" s="8"/>
      <c r="AN166" s="8"/>
      <c r="AO166" s="8"/>
      <c r="AP166" s="8"/>
      <c r="AQ166" s="8"/>
      <c r="AR166" s="8"/>
      <c r="AS166" s="8"/>
      <c r="AT166" s="8"/>
      <c r="AU166" s="8"/>
      <c r="AV166" s="8"/>
      <c r="AW166" s="8"/>
      <c r="AX166" s="8"/>
      <c r="AY166" s="8"/>
      <c r="AZ166" s="8"/>
      <c r="BA166" s="8"/>
      <c r="BB166" s="8"/>
      <c r="BC166" s="8"/>
      <c r="BD166" s="8"/>
      <c r="BE166" s="8"/>
      <c r="BF166" s="8"/>
      <c r="BG166" s="8"/>
      <c r="BH166" s="8"/>
      <c r="BI166" s="8"/>
      <c r="BJ166" s="8"/>
      <c r="BK166" s="8"/>
      <c r="BL166" s="8"/>
    </row>
    <row r="167" spans="1:64" hidden="1">
      <c r="A167" s="8"/>
      <c r="B167" s="186"/>
      <c r="C167" s="8"/>
      <c r="D167" s="8"/>
      <c r="E167" s="8"/>
      <c r="F167" s="8"/>
      <c r="G167" s="113"/>
      <c r="H167" s="8"/>
      <c r="I167" s="8"/>
      <c r="J167" s="8"/>
      <c r="K167" s="8"/>
      <c r="L167" s="8"/>
      <c r="M167" s="8"/>
      <c r="N167" s="8"/>
      <c r="O167" s="8"/>
      <c r="P167" s="8"/>
      <c r="Q167" s="8"/>
      <c r="R167" s="8"/>
      <c r="S167" s="8"/>
      <c r="T167" s="8"/>
      <c r="U167" s="8"/>
      <c r="V167" s="8"/>
      <c r="W167" s="8"/>
      <c r="X167" s="8"/>
      <c r="Y167" s="8"/>
      <c r="Z167" s="8"/>
      <c r="AA167" s="8"/>
      <c r="AB167" s="8"/>
      <c r="AC167" s="8"/>
      <c r="AD167" s="8"/>
      <c r="AE167" s="8"/>
      <c r="AF167" s="8"/>
      <c r="AG167" s="8"/>
      <c r="AH167" s="8"/>
      <c r="AI167" s="8"/>
      <c r="AJ167" s="8"/>
      <c r="AK167" s="8"/>
      <c r="AL167" s="8"/>
      <c r="AM167" s="8"/>
      <c r="AN167" s="8"/>
      <c r="AO167" s="8"/>
      <c r="AP167" s="8"/>
      <c r="AQ167" s="8"/>
      <c r="AR167" s="8"/>
      <c r="AS167" s="8"/>
      <c r="AT167" s="8"/>
      <c r="AU167" s="8"/>
      <c r="AV167" s="8"/>
      <c r="AW167" s="8"/>
      <c r="AX167" s="8"/>
      <c r="AY167" s="8"/>
      <c r="AZ167" s="8"/>
      <c r="BA167" s="8"/>
      <c r="BB167" s="8"/>
      <c r="BC167" s="8"/>
      <c r="BD167" s="8"/>
      <c r="BE167" s="8"/>
      <c r="BF167" s="8"/>
      <c r="BG167" s="8"/>
      <c r="BH167" s="8"/>
      <c r="BI167" s="8"/>
      <c r="BJ167" s="8"/>
      <c r="BK167" s="8"/>
      <c r="BL167" s="8"/>
    </row>
    <row r="168" spans="1:64" hidden="1">
      <c r="A168" s="8"/>
      <c r="B168" s="186"/>
      <c r="C168" s="8"/>
      <c r="D168" s="8"/>
      <c r="E168" s="8"/>
      <c r="F168" s="8"/>
      <c r="G168" s="113"/>
      <c r="H168" s="8"/>
      <c r="I168" s="8"/>
      <c r="J168" s="8"/>
      <c r="K168" s="8"/>
      <c r="L168" s="8"/>
      <c r="M168" s="8"/>
      <c r="N168" s="8"/>
      <c r="O168" s="8"/>
      <c r="P168" s="8"/>
      <c r="Q168" s="8"/>
      <c r="R168" s="8"/>
      <c r="S168" s="8"/>
      <c r="T168" s="8"/>
      <c r="U168" s="8"/>
      <c r="V168" s="8"/>
      <c r="W168" s="8"/>
      <c r="X168" s="8"/>
      <c r="Y168" s="8"/>
      <c r="Z168" s="8"/>
      <c r="AA168" s="8"/>
      <c r="AB168" s="8"/>
      <c r="AC168" s="8"/>
      <c r="AD168" s="8"/>
      <c r="AE168" s="8"/>
      <c r="AF168" s="8"/>
      <c r="AG168" s="8"/>
      <c r="AH168" s="8"/>
      <c r="AI168" s="8"/>
      <c r="AJ168" s="8"/>
      <c r="AK168" s="8"/>
      <c r="AL168" s="8"/>
      <c r="AM168" s="8"/>
      <c r="AN168" s="8"/>
      <c r="AO168" s="8"/>
      <c r="AP168" s="8"/>
      <c r="AQ168" s="8"/>
      <c r="AR168" s="8"/>
      <c r="AS168" s="8"/>
      <c r="AT168" s="8"/>
      <c r="AU168" s="8"/>
      <c r="AV168" s="8"/>
      <c r="AW168" s="8"/>
      <c r="AX168" s="8"/>
      <c r="AY168" s="8"/>
      <c r="AZ168" s="8"/>
      <c r="BA168" s="8"/>
      <c r="BB168" s="8"/>
      <c r="BC168" s="8"/>
      <c r="BD168" s="8"/>
      <c r="BE168" s="8"/>
      <c r="BF168" s="8"/>
      <c r="BG168" s="8"/>
      <c r="BH168" s="8"/>
      <c r="BI168" s="8"/>
      <c r="BJ168" s="8"/>
      <c r="BK168" s="8"/>
      <c r="BL168" s="8"/>
    </row>
    <row r="169" spans="1:64" hidden="1">
      <c r="A169" s="8"/>
      <c r="B169" s="186"/>
      <c r="C169" s="8"/>
      <c r="D169" s="8"/>
      <c r="E169" s="8"/>
      <c r="F169" s="8"/>
      <c r="G169" s="113"/>
      <c r="H169" s="8"/>
      <c r="I169" s="8"/>
      <c r="J169" s="8"/>
      <c r="K169" s="8"/>
      <c r="L169" s="8"/>
      <c r="M169" s="8"/>
      <c r="N169" s="8"/>
      <c r="O169" s="8"/>
      <c r="P169" s="8"/>
      <c r="Q169" s="8"/>
      <c r="R169" s="8"/>
      <c r="S169" s="8"/>
      <c r="T169" s="8"/>
      <c r="U169" s="8"/>
      <c r="V169" s="8"/>
      <c r="W169" s="8"/>
      <c r="X169" s="8"/>
      <c r="Y169" s="8"/>
      <c r="Z169" s="8"/>
      <c r="AA169" s="8"/>
      <c r="AB169" s="8"/>
      <c r="AC169" s="8"/>
      <c r="AD169" s="8"/>
      <c r="AE169" s="8"/>
      <c r="AF169" s="8"/>
      <c r="AG169" s="8"/>
      <c r="AH169" s="8"/>
      <c r="AI169" s="8"/>
      <c r="AJ169" s="8"/>
      <c r="AK169" s="8"/>
      <c r="AL169" s="8"/>
      <c r="AM169" s="8"/>
      <c r="AN169" s="8"/>
      <c r="AO169" s="8"/>
      <c r="AP169" s="8"/>
      <c r="AQ169" s="8"/>
      <c r="AR169" s="8"/>
      <c r="AS169" s="8"/>
      <c r="AT169" s="8"/>
      <c r="AU169" s="8"/>
      <c r="AV169" s="8"/>
      <c r="AW169" s="8"/>
      <c r="AX169" s="8"/>
      <c r="AY169" s="8"/>
      <c r="AZ169" s="8"/>
      <c r="BA169" s="8"/>
      <c r="BB169" s="8"/>
      <c r="BC169" s="8"/>
      <c r="BD169" s="8"/>
      <c r="BE169" s="8"/>
      <c r="BF169" s="8"/>
      <c r="BG169" s="8"/>
      <c r="BH169" s="8"/>
      <c r="BI169" s="8"/>
      <c r="BJ169" s="8"/>
      <c r="BK169" s="8"/>
      <c r="BL169" s="8"/>
    </row>
    <row r="170" spans="1:64" hidden="1">
      <c r="A170" s="8"/>
      <c r="B170" s="186"/>
      <c r="C170" s="8"/>
      <c r="D170" s="8"/>
      <c r="E170" s="8"/>
      <c r="F170" s="8"/>
      <c r="G170" s="113"/>
      <c r="H170" s="8"/>
      <c r="I170" s="8"/>
      <c r="J170" s="8"/>
      <c r="K170" s="8"/>
      <c r="L170" s="8"/>
      <c r="M170" s="8"/>
      <c r="N170" s="8"/>
      <c r="O170" s="8"/>
      <c r="P170" s="8"/>
      <c r="Q170" s="8"/>
      <c r="R170" s="8"/>
      <c r="S170" s="8"/>
      <c r="T170" s="8"/>
      <c r="U170" s="8"/>
      <c r="V170" s="8"/>
      <c r="W170" s="8"/>
      <c r="X170" s="8"/>
      <c r="Y170" s="8"/>
      <c r="Z170" s="8"/>
      <c r="AA170" s="8"/>
      <c r="AB170" s="8"/>
      <c r="AC170" s="8"/>
      <c r="AD170" s="8"/>
      <c r="AE170" s="8"/>
      <c r="AF170" s="8"/>
      <c r="AG170" s="8"/>
      <c r="AH170" s="8"/>
      <c r="AI170" s="8"/>
      <c r="AJ170" s="8"/>
      <c r="AK170" s="8"/>
      <c r="AL170" s="8"/>
      <c r="AM170" s="8"/>
      <c r="AN170" s="8"/>
      <c r="AO170" s="8"/>
      <c r="AP170" s="8"/>
      <c r="AQ170" s="8"/>
      <c r="AR170" s="8"/>
      <c r="AS170" s="8"/>
      <c r="AT170" s="8"/>
      <c r="AU170" s="8"/>
      <c r="AV170" s="8"/>
      <c r="AW170" s="8"/>
      <c r="AX170" s="8"/>
      <c r="AY170" s="8"/>
      <c r="AZ170" s="8"/>
      <c r="BA170" s="8"/>
      <c r="BB170" s="8"/>
      <c r="BC170" s="8"/>
      <c r="BD170" s="8"/>
      <c r="BE170" s="8"/>
      <c r="BF170" s="8"/>
      <c r="BG170" s="8"/>
      <c r="BH170" s="8"/>
      <c r="BI170" s="8"/>
      <c r="BJ170" s="8"/>
      <c r="BK170" s="8"/>
      <c r="BL170" s="8"/>
    </row>
    <row r="171" spans="1:64" hidden="1">
      <c r="A171" s="8"/>
      <c r="B171" s="186"/>
      <c r="C171" s="8"/>
      <c r="D171" s="8"/>
      <c r="E171" s="8"/>
      <c r="F171" s="8"/>
      <c r="G171" s="113"/>
      <c r="H171" s="8"/>
      <c r="I171" s="8"/>
      <c r="J171" s="8"/>
      <c r="K171" s="8"/>
      <c r="L171" s="8"/>
      <c r="M171" s="8"/>
      <c r="N171" s="8"/>
      <c r="O171" s="8"/>
      <c r="P171" s="8"/>
      <c r="Q171" s="8"/>
      <c r="R171" s="8"/>
      <c r="S171" s="8"/>
      <c r="T171" s="8"/>
      <c r="U171" s="8"/>
      <c r="V171" s="8"/>
      <c r="W171" s="8"/>
      <c r="X171" s="8"/>
      <c r="Y171" s="8"/>
      <c r="Z171" s="8"/>
      <c r="AA171" s="8"/>
      <c r="AB171" s="8"/>
      <c r="AC171" s="8"/>
      <c r="AD171" s="8"/>
      <c r="AE171" s="8"/>
      <c r="AF171" s="8"/>
      <c r="AG171" s="8"/>
      <c r="AH171" s="8"/>
      <c r="AI171" s="8"/>
      <c r="AJ171" s="8"/>
      <c r="AK171" s="8"/>
      <c r="AL171" s="8"/>
      <c r="AM171" s="8"/>
      <c r="AN171" s="8"/>
      <c r="AO171" s="8"/>
      <c r="AP171" s="8"/>
      <c r="AQ171" s="8"/>
      <c r="AR171" s="8"/>
      <c r="AS171" s="8"/>
      <c r="AT171" s="8"/>
      <c r="AU171" s="8"/>
      <c r="AV171" s="8"/>
      <c r="AW171" s="8"/>
      <c r="AX171" s="8"/>
      <c r="AY171" s="8"/>
      <c r="AZ171" s="8"/>
      <c r="BA171" s="8"/>
      <c r="BB171" s="8"/>
      <c r="BC171" s="8"/>
      <c r="BD171" s="8"/>
      <c r="BE171" s="8"/>
      <c r="BF171" s="8"/>
      <c r="BG171" s="8"/>
      <c r="BH171" s="8"/>
      <c r="BI171" s="8"/>
      <c r="BJ171" s="8"/>
      <c r="BK171" s="8"/>
      <c r="BL171" s="8"/>
    </row>
    <row r="172" spans="1:64" hidden="1">
      <c r="A172" s="8"/>
      <c r="B172" s="186"/>
      <c r="C172" s="8"/>
      <c r="D172" s="8"/>
      <c r="E172" s="8"/>
      <c r="F172" s="8"/>
      <c r="G172" s="113"/>
      <c r="H172" s="8"/>
      <c r="I172" s="8"/>
      <c r="J172" s="8"/>
      <c r="K172" s="8"/>
      <c r="L172" s="8"/>
      <c r="M172" s="8"/>
      <c r="N172" s="8"/>
      <c r="O172" s="8"/>
      <c r="P172" s="8"/>
      <c r="Q172" s="8"/>
      <c r="R172" s="8"/>
      <c r="S172" s="8"/>
      <c r="T172" s="8"/>
      <c r="U172" s="8"/>
      <c r="V172" s="8"/>
      <c r="W172" s="8"/>
      <c r="X172" s="8"/>
      <c r="Y172" s="8"/>
      <c r="Z172" s="8"/>
      <c r="AA172" s="8"/>
      <c r="AB172" s="8"/>
      <c r="AC172" s="8"/>
      <c r="AD172" s="8"/>
      <c r="AE172" s="8"/>
      <c r="AF172" s="8"/>
      <c r="AG172" s="8"/>
      <c r="AH172" s="8"/>
      <c r="AI172" s="8"/>
      <c r="AJ172" s="8"/>
      <c r="AK172" s="8"/>
      <c r="AL172" s="8"/>
      <c r="AM172" s="8"/>
      <c r="AN172" s="8"/>
      <c r="AO172" s="8"/>
      <c r="AP172" s="8"/>
      <c r="AQ172" s="8"/>
      <c r="AR172" s="8"/>
      <c r="AS172" s="8"/>
      <c r="AT172" s="8"/>
      <c r="AU172" s="8"/>
      <c r="AV172" s="8"/>
      <c r="AW172" s="8"/>
      <c r="AX172" s="8"/>
      <c r="AY172" s="8"/>
      <c r="AZ172" s="8"/>
      <c r="BA172" s="8"/>
      <c r="BB172" s="8"/>
      <c r="BC172" s="8"/>
      <c r="BD172" s="8"/>
      <c r="BE172" s="8"/>
      <c r="BF172" s="8"/>
      <c r="BG172" s="8"/>
      <c r="BH172" s="8"/>
      <c r="BI172" s="8"/>
      <c r="BJ172" s="8"/>
      <c r="BK172" s="8"/>
      <c r="BL172" s="8"/>
    </row>
  </sheetData>
  <mergeCells count="118">
    <mergeCell ref="B3:B7"/>
    <mergeCell ref="A3:A7"/>
    <mergeCell ref="AS48:AV48"/>
    <mergeCell ref="AW48:AZ48"/>
    <mergeCell ref="AI48:AM48"/>
    <mergeCell ref="AB48:AH48"/>
    <mergeCell ref="AN48:AR48"/>
    <mergeCell ref="A43:X43"/>
    <mergeCell ref="E67:E71"/>
    <mergeCell ref="D67:D71"/>
    <mergeCell ref="A61:B61"/>
    <mergeCell ref="C67:C71"/>
    <mergeCell ref="H67:H68"/>
    <mergeCell ref="I46:X46"/>
    <mergeCell ref="I47:X47"/>
    <mergeCell ref="I48:X48"/>
    <mergeCell ref="I49:X49"/>
    <mergeCell ref="A67:A71"/>
    <mergeCell ref="D23:D24"/>
    <mergeCell ref="E23:E27"/>
    <mergeCell ref="D25:D27"/>
    <mergeCell ref="D28:D29"/>
    <mergeCell ref="A13:A17"/>
    <mergeCell ref="B13:B17"/>
    <mergeCell ref="A1:X1"/>
    <mergeCell ref="D38:D39"/>
    <mergeCell ref="E38:E42"/>
    <mergeCell ref="A33:A42"/>
    <mergeCell ref="E8:E12"/>
    <mergeCell ref="B8:B12"/>
    <mergeCell ref="A8:A12"/>
    <mergeCell ref="D8:D12"/>
    <mergeCell ref="C8:C12"/>
    <mergeCell ref="C3:C7"/>
    <mergeCell ref="D3:D7"/>
    <mergeCell ref="E3:E7"/>
    <mergeCell ref="D13:D17"/>
    <mergeCell ref="E13:E17"/>
    <mergeCell ref="H38:H39"/>
    <mergeCell ref="H33:H34"/>
    <mergeCell ref="E33:E37"/>
    <mergeCell ref="D35:D37"/>
    <mergeCell ref="D33:D34"/>
    <mergeCell ref="D40:D42"/>
    <mergeCell ref="H23:H24"/>
    <mergeCell ref="H28:H29"/>
    <mergeCell ref="H13:H14"/>
    <mergeCell ref="A23:A32"/>
    <mergeCell ref="C13:C17"/>
    <mergeCell ref="A78:A87"/>
    <mergeCell ref="B78:B82"/>
    <mergeCell ref="C78:C82"/>
    <mergeCell ref="D78:D79"/>
    <mergeCell ref="E78:E82"/>
    <mergeCell ref="D80:D82"/>
    <mergeCell ref="B83:B87"/>
    <mergeCell ref="C83:C87"/>
    <mergeCell ref="D83:D84"/>
    <mergeCell ref="E83:E87"/>
    <mergeCell ref="D85:D87"/>
    <mergeCell ref="E52:X52"/>
    <mergeCell ref="E53:X53"/>
    <mergeCell ref="E51:X51"/>
    <mergeCell ref="E55:X56"/>
    <mergeCell ref="E54:X54"/>
    <mergeCell ref="C23:C32"/>
    <mergeCell ref="B23:B32"/>
    <mergeCell ref="C33:C42"/>
    <mergeCell ref="B67:B71"/>
    <mergeCell ref="E46:E50"/>
    <mergeCell ref="A18:A22"/>
    <mergeCell ref="B18:B22"/>
    <mergeCell ref="D105:D107"/>
    <mergeCell ref="A88:A97"/>
    <mergeCell ref="B88:B92"/>
    <mergeCell ref="C88:C92"/>
    <mergeCell ref="D88:D89"/>
    <mergeCell ref="E88:E92"/>
    <mergeCell ref="D90:D92"/>
    <mergeCell ref="B93:B97"/>
    <mergeCell ref="C93:C97"/>
    <mergeCell ref="D93:D94"/>
    <mergeCell ref="E93:E97"/>
    <mergeCell ref="D95:D97"/>
    <mergeCell ref="Y4:AF4"/>
    <mergeCell ref="A75:H75"/>
    <mergeCell ref="A74:H74"/>
    <mergeCell ref="A108:A117"/>
    <mergeCell ref="B108:B112"/>
    <mergeCell ref="C108:C112"/>
    <mergeCell ref="D108:D109"/>
    <mergeCell ref="E108:E112"/>
    <mergeCell ref="D110:D112"/>
    <mergeCell ref="B113:B117"/>
    <mergeCell ref="C113:C117"/>
    <mergeCell ref="D113:D114"/>
    <mergeCell ref="E113:E117"/>
    <mergeCell ref="D115:D117"/>
    <mergeCell ref="A98:A107"/>
    <mergeCell ref="B98:B102"/>
    <mergeCell ref="C98:C102"/>
    <mergeCell ref="D98:D99"/>
    <mergeCell ref="E98:E102"/>
    <mergeCell ref="D100:D102"/>
    <mergeCell ref="B103:B107"/>
    <mergeCell ref="C103:C107"/>
    <mergeCell ref="D103:D104"/>
    <mergeCell ref="E103:E107"/>
    <mergeCell ref="C18:C22"/>
    <mergeCell ref="D18:D22"/>
    <mergeCell ref="E18:E22"/>
    <mergeCell ref="H18:H19"/>
    <mergeCell ref="B33:B42"/>
    <mergeCell ref="I50:X50"/>
    <mergeCell ref="I45:X45"/>
    <mergeCell ref="E44:X44"/>
    <mergeCell ref="E28:E32"/>
    <mergeCell ref="D30:D32"/>
  </mergeCells>
  <phoneticPr fontId="8" type="noConversion"/>
  <hyperlinks>
    <hyperlink ref="H46" r:id="rId1" xr:uid="{32C170EA-99AE-46CC-BCB6-A219F769580A}"/>
    <hyperlink ref="H47:H48" r:id="rId2" display="2022 CASE report (Table 38)" xr:uid="{F2DCECA9-0CD0-4E1B-990A-A8655C03162B}"/>
    <hyperlink ref="E51" r:id="rId3" display="https://2050partners.sharepoint.com/:w:/r/sites/CalBEMCollaborativeEfforts/Shared Documents/Working Group 1 - Streamlined Process/D - Complexity of Compliance/Prototype Unification/Project Development/Phase 2 (Collect Inputs) Development/NR/Air Leakage Memo/Infiltration_rate_report_14May2025-Short-Version.docx?d=w3bef8f747fac44f2a70cd76617660066&amp;csf=1&amp;web=1&amp;e=wh5Dm4" xr:uid="{9CCAB9F5-76ED-41F1-B19D-A3C6E0D2A035}"/>
  </hyperlinks>
  <pageMargins left="0.7" right="0.7" top="0.75" bottom="0.75" header="0.3" footer="0.3"/>
  <drawing r:id="rId4"/>
  <legacyDrawing r:id="rId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C1672-9EE3-40E4-AB75-7F6046861D1F}">
  <sheetPr codeName="Sheet6"/>
  <dimension ref="A1:AU237"/>
  <sheetViews>
    <sheetView zoomScale="85" zoomScaleNormal="85" workbookViewId="0">
      <selection sqref="A1:H1"/>
    </sheetView>
  </sheetViews>
  <sheetFormatPr defaultColWidth="8.7109375" defaultRowHeight="13.15"/>
  <cols>
    <col min="1" max="1" width="26" style="10" customWidth="1"/>
    <col min="2" max="2" width="19.140625" style="10" customWidth="1"/>
    <col min="3" max="3" width="27.140625" style="10" customWidth="1"/>
    <col min="4" max="4" width="27.28515625" style="10" customWidth="1"/>
    <col min="5" max="5" width="24.7109375" style="10" customWidth="1"/>
    <col min="6" max="6" width="38.28515625" style="10" customWidth="1"/>
    <col min="7" max="7" width="34" style="10" customWidth="1"/>
    <col min="8" max="8" width="28.5703125" style="10" customWidth="1"/>
    <col min="9" max="9" width="41.28515625" style="10" customWidth="1"/>
    <col min="10" max="10" width="17.5703125" style="10" customWidth="1"/>
    <col min="11" max="11" width="12.7109375" style="10" customWidth="1"/>
    <col min="12" max="13" width="15.28515625" style="10" customWidth="1"/>
    <col min="14" max="14" width="27.28515625" style="10" customWidth="1"/>
    <col min="15" max="15" width="19.7109375" style="10" customWidth="1"/>
    <col min="16" max="19" width="15.28515625" style="10" customWidth="1"/>
    <col min="20" max="20" width="14.7109375" style="10" customWidth="1"/>
    <col min="21" max="21" width="13.5703125" style="10" customWidth="1"/>
    <col min="22" max="22" width="15.7109375" style="10" customWidth="1"/>
    <col min="23" max="26" width="11" style="10" customWidth="1"/>
    <col min="27" max="27" width="20.28515625" style="10" customWidth="1"/>
    <col min="28" max="29" width="11" style="10" customWidth="1"/>
    <col min="30" max="47" width="10.5703125" style="10" customWidth="1"/>
    <col min="48" max="16384" width="8.7109375" style="10"/>
  </cols>
  <sheetData>
    <row r="1" spans="1:12" ht="27" customHeight="1">
      <c r="A1" s="906" t="str">
        <f>"HVAC System - "&amp;Prototype!A2</f>
        <v>HVAC System - HotelLarge</v>
      </c>
      <c r="B1" s="906"/>
      <c r="C1" s="906"/>
      <c r="D1" s="906"/>
      <c r="E1" s="906"/>
      <c r="F1" s="906"/>
      <c r="G1" s="906"/>
      <c r="H1" s="906"/>
    </row>
    <row r="2" spans="1:12" ht="24" customHeight="1">
      <c r="A2" s="817" t="s">
        <v>243</v>
      </c>
      <c r="B2" s="817" t="s">
        <v>355</v>
      </c>
      <c r="C2" s="817" t="s">
        <v>356</v>
      </c>
      <c r="D2" s="817" t="s">
        <v>357</v>
      </c>
      <c r="E2" s="817" t="s">
        <v>358</v>
      </c>
      <c r="F2" s="817" t="s">
        <v>359</v>
      </c>
      <c r="G2" s="817" t="s">
        <v>233</v>
      </c>
      <c r="H2" s="817" t="s">
        <v>177</v>
      </c>
    </row>
    <row r="3" spans="1:12" ht="39" customHeight="1">
      <c r="A3" s="915" t="s">
        <v>360</v>
      </c>
      <c r="B3" s="807" t="s">
        <v>361</v>
      </c>
      <c r="C3" s="797" t="s">
        <v>362</v>
      </c>
      <c r="D3" s="833" t="s">
        <v>363</v>
      </c>
      <c r="E3" s="275" t="s">
        <v>364</v>
      </c>
      <c r="F3" s="163" t="s">
        <v>365</v>
      </c>
      <c r="G3" s="797" t="s">
        <v>366</v>
      </c>
      <c r="H3" s="907" t="s">
        <v>367</v>
      </c>
      <c r="K3" s="74"/>
      <c r="L3" s="75"/>
    </row>
    <row r="4" spans="1:12" ht="37.9" customHeight="1">
      <c r="A4" s="915"/>
      <c r="B4" s="798" t="s">
        <v>368</v>
      </c>
      <c r="C4" s="797" t="s">
        <v>362</v>
      </c>
      <c r="D4" s="798" t="s">
        <v>363</v>
      </c>
      <c r="E4" s="798" t="s">
        <v>369</v>
      </c>
      <c r="F4" s="163" t="s">
        <v>370</v>
      </c>
      <c r="G4" s="797" t="s">
        <v>371</v>
      </c>
      <c r="H4" s="908"/>
      <c r="K4" s="72"/>
      <c r="L4" s="75"/>
    </row>
    <row r="5" spans="1:12" ht="37.15" customHeight="1">
      <c r="A5" s="916" t="s">
        <v>372</v>
      </c>
      <c r="B5" s="797" t="s">
        <v>361</v>
      </c>
      <c r="C5" s="797" t="s">
        <v>362</v>
      </c>
      <c r="D5" s="798" t="s">
        <v>363</v>
      </c>
      <c r="E5" s="798" t="s">
        <v>364</v>
      </c>
      <c r="F5" s="797" t="s">
        <v>373</v>
      </c>
      <c r="G5" s="797" t="s">
        <v>374</v>
      </c>
      <c r="H5" s="908"/>
      <c r="I5" s="72"/>
      <c r="J5" s="73"/>
      <c r="K5" s="72"/>
      <c r="L5" s="75"/>
    </row>
    <row r="6" spans="1:12" ht="40.9" customHeight="1">
      <c r="A6" s="916"/>
      <c r="B6" s="798" t="s">
        <v>368</v>
      </c>
      <c r="C6" s="797" t="s">
        <v>362</v>
      </c>
      <c r="D6" s="798" t="s">
        <v>363</v>
      </c>
      <c r="E6" s="798" t="s">
        <v>375</v>
      </c>
      <c r="F6" s="78" t="s">
        <v>376</v>
      </c>
      <c r="G6" s="797" t="s">
        <v>377</v>
      </c>
      <c r="H6" s="909"/>
      <c r="J6" s="73"/>
      <c r="K6" s="72"/>
      <c r="L6" s="75"/>
    </row>
    <row r="7" spans="1:12" ht="15.6" customHeight="1">
      <c r="A7" s="14"/>
      <c r="B7" s="12"/>
      <c r="C7" s="778"/>
      <c r="D7" s="12"/>
      <c r="E7" s="12"/>
      <c r="F7" s="130"/>
      <c r="G7" s="12"/>
      <c r="H7" s="72"/>
      <c r="J7" s="73"/>
      <c r="K7" s="72"/>
      <c r="L7" s="75"/>
    </row>
    <row r="8" spans="1:12" ht="15.6" customHeight="1">
      <c r="A8" s="12"/>
      <c r="B8" s="12"/>
      <c r="D8" s="12"/>
      <c r="E8" s="12"/>
      <c r="F8" s="12"/>
      <c r="G8" s="12"/>
      <c r="I8" s="75"/>
      <c r="J8" s="75"/>
      <c r="K8" s="75"/>
      <c r="L8" s="75"/>
    </row>
    <row r="9" spans="1:12">
      <c r="B9" s="778"/>
      <c r="C9" s="778"/>
      <c r="D9" s="12"/>
      <c r="E9" s="12"/>
      <c r="F9" s="12"/>
      <c r="G9" s="12"/>
    </row>
    <row r="10" spans="1:12">
      <c r="A10" s="12"/>
      <c r="B10" s="12"/>
      <c r="C10" s="12"/>
      <c r="D10" s="12"/>
      <c r="E10" s="12"/>
      <c r="F10" s="12"/>
      <c r="G10" s="12"/>
    </row>
    <row r="11" spans="1:12" ht="40.15" customHeight="1">
      <c r="A11" s="901" t="s">
        <v>378</v>
      </c>
      <c r="B11" s="901"/>
      <c r="C11" s="901"/>
      <c r="D11" s="901"/>
      <c r="E11" s="901"/>
      <c r="F11" s="901"/>
      <c r="G11" s="901"/>
      <c r="H11" s="901"/>
    </row>
    <row r="12" spans="1:12" ht="27" customHeight="1">
      <c r="A12" s="802" t="s">
        <v>243</v>
      </c>
      <c r="B12" s="64" t="s">
        <v>379</v>
      </c>
      <c r="C12" s="792" t="s">
        <v>362</v>
      </c>
      <c r="D12" s="792" t="s">
        <v>380</v>
      </c>
      <c r="E12" s="925" t="s">
        <v>233</v>
      </c>
      <c r="F12" s="925"/>
      <c r="G12" s="925" t="s">
        <v>177</v>
      </c>
      <c r="H12" s="925"/>
    </row>
    <row r="13" spans="1:12" ht="18" customHeight="1">
      <c r="A13" s="791" t="s">
        <v>265</v>
      </c>
      <c r="B13" s="924">
        <v>2008</v>
      </c>
      <c r="C13" s="924" t="s">
        <v>381</v>
      </c>
      <c r="D13" s="924" t="s">
        <v>382</v>
      </c>
      <c r="E13" s="913" t="s">
        <v>383</v>
      </c>
      <c r="F13" s="913"/>
      <c r="G13" s="926"/>
      <c r="H13" s="926"/>
      <c r="I13" s="124"/>
      <c r="J13" s="124"/>
      <c r="K13" s="468"/>
      <c r="L13" s="124"/>
    </row>
    <row r="14" spans="1:12" ht="21.75" customHeight="1">
      <c r="A14" s="791" t="s">
        <v>268</v>
      </c>
      <c r="B14" s="924"/>
      <c r="C14" s="924"/>
      <c r="D14" s="924"/>
      <c r="E14" s="913"/>
      <c r="F14" s="913"/>
      <c r="G14" s="926"/>
      <c r="H14" s="926"/>
    </row>
    <row r="15" spans="1:12" ht="19.5" customHeight="1">
      <c r="A15" s="791" t="s">
        <v>271</v>
      </c>
      <c r="B15" s="924"/>
      <c r="C15" s="924"/>
      <c r="D15" s="924"/>
      <c r="E15" s="913"/>
      <c r="F15" s="913"/>
      <c r="G15" s="926"/>
      <c r="H15" s="926"/>
    </row>
    <row r="16" spans="1:12" ht="38.450000000000003" customHeight="1">
      <c r="A16" s="791" t="s">
        <v>273</v>
      </c>
      <c r="B16" s="805">
        <v>2013</v>
      </c>
      <c r="C16" s="791" t="s">
        <v>381</v>
      </c>
      <c r="D16" s="791" t="s">
        <v>384</v>
      </c>
      <c r="E16" s="913" t="s">
        <v>385</v>
      </c>
      <c r="F16" s="913"/>
      <c r="G16" s="926"/>
      <c r="H16" s="926"/>
    </row>
    <row r="17" spans="1:16" ht="163.9" customHeight="1">
      <c r="A17" s="791" t="s">
        <v>372</v>
      </c>
      <c r="B17" s="791">
        <v>2025</v>
      </c>
      <c r="C17" s="791" t="s">
        <v>386</v>
      </c>
      <c r="D17" s="791" t="s">
        <v>387</v>
      </c>
      <c r="E17" s="913" t="s">
        <v>388</v>
      </c>
      <c r="F17" s="913"/>
      <c r="G17" s="913" t="s">
        <v>389</v>
      </c>
      <c r="H17" s="913"/>
      <c r="O17" s="10" t="s">
        <v>390</v>
      </c>
      <c r="P17" s="10">
        <f>9.56/3.412</f>
        <v>2.8018757327080892</v>
      </c>
    </row>
    <row r="18" spans="1:16" ht="14.45">
      <c r="A18" s="13"/>
      <c r="B18" s="115"/>
      <c r="C18" s="116"/>
      <c r="D18" s="13"/>
      <c r="E18" s="13"/>
      <c r="F18" s="780"/>
      <c r="G18" s="271"/>
      <c r="O18" s="10" t="s">
        <v>391</v>
      </c>
      <c r="P18" s="10">
        <f>9.7/3.412</f>
        <v>2.8429073856975378</v>
      </c>
    </row>
    <row r="19" spans="1:16">
      <c r="A19" s="34"/>
      <c r="B19" s="13"/>
      <c r="C19" s="34"/>
      <c r="D19" s="33"/>
      <c r="E19" s="13"/>
      <c r="P19" s="10">
        <f>10/3.412</f>
        <v>2.9308323563892147</v>
      </c>
    </row>
    <row r="20" spans="1:16">
      <c r="A20" s="34"/>
      <c r="B20" s="13"/>
      <c r="C20" s="13"/>
      <c r="D20" s="33"/>
      <c r="E20" s="13"/>
    </row>
    <row r="21" spans="1:16" ht="13.9" customHeight="1">
      <c r="A21" s="12"/>
      <c r="D21" s="31"/>
    </row>
    <row r="22" spans="1:16" ht="24.6" customHeight="1">
      <c r="A22" s="914" t="s">
        <v>392</v>
      </c>
      <c r="B22" s="914"/>
      <c r="C22" s="914"/>
      <c r="D22" s="914"/>
      <c r="E22" s="914"/>
      <c r="F22" s="914"/>
      <c r="G22" s="914"/>
      <c r="H22" s="914"/>
      <c r="I22" s="914"/>
    </row>
    <row r="23" spans="1:16" ht="52.9">
      <c r="A23" s="802" t="s">
        <v>243</v>
      </c>
      <c r="B23" s="802" t="s">
        <v>393</v>
      </c>
      <c r="C23" s="802" t="s">
        <v>394</v>
      </c>
      <c r="D23" s="430" t="s">
        <v>395</v>
      </c>
      <c r="E23" s="430" t="s">
        <v>396</v>
      </c>
      <c r="F23" s="430" t="s">
        <v>397</v>
      </c>
      <c r="G23" s="430" t="s">
        <v>398</v>
      </c>
      <c r="H23" s="429" t="s">
        <v>399</v>
      </c>
      <c r="I23" s="317" t="s">
        <v>177</v>
      </c>
    </row>
    <row r="24" spans="1:16" ht="24.6" customHeight="1">
      <c r="A24" s="910" t="s">
        <v>400</v>
      </c>
      <c r="B24" s="910" t="s">
        <v>401</v>
      </c>
      <c r="C24" s="791" t="s">
        <v>402</v>
      </c>
      <c r="D24" s="791">
        <v>5.58</v>
      </c>
      <c r="E24" s="791">
        <v>0.65</v>
      </c>
      <c r="F24" s="924" t="s">
        <v>403</v>
      </c>
      <c r="G24" s="921"/>
      <c r="H24" s="912" t="s">
        <v>404</v>
      </c>
      <c r="I24" s="917"/>
    </row>
    <row r="25" spans="1:16" ht="30" customHeight="1">
      <c r="A25" s="910"/>
      <c r="B25" s="910"/>
      <c r="C25" s="795" t="s">
        <v>405</v>
      </c>
      <c r="D25" s="795">
        <v>1.33</v>
      </c>
      <c r="E25" s="795">
        <v>0.65</v>
      </c>
      <c r="F25" s="924"/>
      <c r="G25" s="921"/>
      <c r="H25" s="912"/>
      <c r="I25" s="917"/>
    </row>
    <row r="26" spans="1:16" ht="13.9" customHeight="1">
      <c r="A26" s="431" t="s">
        <v>406</v>
      </c>
      <c r="B26" s="432"/>
      <c r="C26" s="433"/>
      <c r="D26" s="433"/>
      <c r="E26" s="434"/>
      <c r="F26" s="435"/>
      <c r="G26" s="435"/>
      <c r="H26" s="435"/>
      <c r="I26" s="436"/>
    </row>
    <row r="27" spans="1:16" ht="13.9" customHeight="1">
      <c r="A27" s="438" t="s">
        <v>407</v>
      </c>
      <c r="B27" s="136"/>
      <c r="C27" s="136"/>
      <c r="D27" s="437"/>
      <c r="E27" s="136"/>
      <c r="F27" s="136"/>
      <c r="G27" s="136"/>
      <c r="H27" s="136"/>
      <c r="I27" s="493"/>
    </row>
    <row r="28" spans="1:16" ht="24.6" customHeight="1">
      <c r="A28" s="910" t="s">
        <v>372</v>
      </c>
      <c r="B28" s="910" t="s">
        <v>408</v>
      </c>
      <c r="C28" s="459" t="s">
        <v>402</v>
      </c>
      <c r="D28" s="460">
        <f>G28*$F$28*$E$28/746*6356</f>
        <v>4.7200968096514746</v>
      </c>
      <c r="E28" s="918">
        <v>0.65</v>
      </c>
      <c r="F28" s="918">
        <v>0.9</v>
      </c>
      <c r="G28" s="797">
        <v>0.94699999999999995</v>
      </c>
      <c r="H28" s="911" t="s">
        <v>408</v>
      </c>
      <c r="I28" s="412" t="s">
        <v>409</v>
      </c>
    </row>
    <row r="29" spans="1:16" ht="24.6" customHeight="1">
      <c r="A29" s="910"/>
      <c r="B29" s="910"/>
      <c r="C29" s="459" t="s">
        <v>405</v>
      </c>
      <c r="D29" s="460">
        <f>G29*$F$28*$E$28/746*6356</f>
        <v>1.7444919571045578</v>
      </c>
      <c r="E29" s="918"/>
      <c r="F29" s="918"/>
      <c r="G29" s="797">
        <v>0.35</v>
      </c>
      <c r="H29" s="911"/>
      <c r="I29" s="559" t="s">
        <v>410</v>
      </c>
    </row>
    <row r="30" spans="1:16" ht="24.6" customHeight="1">
      <c r="A30" s="910"/>
      <c r="B30" s="910"/>
      <c r="C30" s="459" t="s">
        <v>411</v>
      </c>
      <c r="D30" s="460">
        <f>G30*$F$28*$E$28/746*6356</f>
        <v>3.1201484718498662</v>
      </c>
      <c r="E30" s="918"/>
      <c r="F30" s="918"/>
      <c r="G30" s="797">
        <v>0.626</v>
      </c>
      <c r="H30" s="911"/>
      <c r="I30" s="913" t="s">
        <v>412</v>
      </c>
    </row>
    <row r="31" spans="1:16" ht="24.6" customHeight="1">
      <c r="A31" s="910"/>
      <c r="B31" s="910"/>
      <c r="C31" s="459" t="s">
        <v>413</v>
      </c>
      <c r="D31" s="460">
        <f>G31*$F$28*$E$28/746*6356</f>
        <v>0.71773383378016087</v>
      </c>
      <c r="E31" s="918"/>
      <c r="F31" s="918"/>
      <c r="G31" s="797">
        <v>0.14399999999999999</v>
      </c>
      <c r="H31" s="911"/>
      <c r="I31" s="913"/>
      <c r="J31" s="492" t="s">
        <v>414</v>
      </c>
      <c r="K31" s="12">
        <f>1.1*Ventilation!J29</f>
        <v>17443.822526690808</v>
      </c>
    </row>
    <row r="32" spans="1:16" ht="16.899999999999999" customHeight="1">
      <c r="D32" s="458"/>
      <c r="E32" s="13"/>
      <c r="F32" s="10" t="s">
        <v>415</v>
      </c>
    </row>
    <row r="33" spans="1:38" ht="16.149999999999999" customHeight="1">
      <c r="A33" s="10" t="s">
        <v>416</v>
      </c>
    </row>
    <row r="34" spans="1:38" ht="16.149999999999999" customHeight="1">
      <c r="A34" s="13" t="s">
        <v>417</v>
      </c>
      <c r="B34" s="778"/>
      <c r="D34" s="31"/>
    </row>
    <row r="35" spans="1:38">
      <c r="A35" s="13" t="s">
        <v>418</v>
      </c>
    </row>
    <row r="36" spans="1:38" ht="13.9" customHeight="1">
      <c r="A36" s="11"/>
      <c r="B36" s="778"/>
      <c r="D36" s="31"/>
    </row>
    <row r="37" spans="1:38" ht="13.9" customHeight="1">
      <c r="A37" s="11"/>
      <c r="B37" s="778"/>
      <c r="D37" s="31"/>
    </row>
    <row r="38" spans="1:38" ht="13.9" customHeight="1">
      <c r="A38" s="11"/>
      <c r="B38" s="778"/>
      <c r="D38" s="31"/>
    </row>
    <row r="39" spans="1:38" s="127" customFormat="1" ht="21" hidden="1" customHeight="1">
      <c r="A39" s="127" t="s">
        <v>95</v>
      </c>
    </row>
    <row r="40" spans="1:38" hidden="1">
      <c r="U40" s="30"/>
      <c r="V40" s="48"/>
      <c r="W40" s="49"/>
      <c r="X40" s="49"/>
      <c r="Y40" s="49"/>
      <c r="Z40" s="49"/>
      <c r="AA40" s="49"/>
      <c r="AB40" s="49"/>
      <c r="AC40" s="49"/>
      <c r="AD40" s="49"/>
      <c r="AE40" s="49"/>
      <c r="AF40" s="49"/>
      <c r="AG40" s="49"/>
      <c r="AH40" s="49"/>
      <c r="AI40" s="49"/>
      <c r="AJ40" s="49"/>
      <c r="AK40" s="49"/>
      <c r="AL40" s="49"/>
    </row>
    <row r="41" spans="1:38" hidden="1"/>
    <row r="42" spans="1:38" hidden="1">
      <c r="A42" s="129" t="s">
        <v>419</v>
      </c>
      <c r="U42" s="30"/>
      <c r="V42" s="48"/>
      <c r="W42" s="49"/>
      <c r="X42" s="49"/>
      <c r="Y42" s="49"/>
      <c r="Z42" s="49"/>
      <c r="AA42" s="49"/>
      <c r="AB42" s="49"/>
      <c r="AC42" s="49"/>
      <c r="AD42" s="49"/>
      <c r="AE42" s="49"/>
      <c r="AF42" s="49"/>
      <c r="AG42" s="49"/>
      <c r="AH42" s="49"/>
      <c r="AI42" s="49"/>
      <c r="AJ42" s="49"/>
      <c r="AK42" s="49"/>
      <c r="AL42" s="49"/>
    </row>
    <row r="43" spans="1:38" ht="14.45" hidden="1">
      <c r="A43" s="10" t="s">
        <v>420</v>
      </c>
      <c r="F43"/>
      <c r="U43" s="30"/>
      <c r="V43" s="48"/>
      <c r="W43" s="49"/>
      <c r="X43" s="49"/>
      <c r="Y43" s="49"/>
      <c r="Z43" s="49"/>
      <c r="AA43" s="49"/>
      <c r="AB43" s="49"/>
      <c r="AC43" s="49"/>
      <c r="AD43" s="49"/>
      <c r="AE43" s="49"/>
      <c r="AF43" s="49"/>
      <c r="AG43" s="49"/>
      <c r="AH43" s="49"/>
      <c r="AI43" s="49"/>
      <c r="AJ43" s="49"/>
      <c r="AK43" s="49"/>
      <c r="AL43" s="49"/>
    </row>
    <row r="44" spans="1:38" hidden="1">
      <c r="U44" s="30"/>
      <c r="V44" s="48"/>
      <c r="W44" s="49"/>
      <c r="X44" s="49"/>
      <c r="Y44" s="49"/>
      <c r="Z44" s="49"/>
      <c r="AA44" s="49"/>
      <c r="AB44" s="49"/>
      <c r="AC44" s="49"/>
      <c r="AD44" s="49"/>
      <c r="AE44" s="49"/>
      <c r="AF44" s="49"/>
      <c r="AG44" s="49"/>
      <c r="AH44" s="49"/>
      <c r="AI44" s="49"/>
      <c r="AJ44" s="49"/>
      <c r="AK44" s="49"/>
      <c r="AL44" s="49"/>
    </row>
    <row r="45" spans="1:38" hidden="1">
      <c r="A45" s="75" t="s">
        <v>421</v>
      </c>
      <c r="U45" s="30"/>
      <c r="V45" s="48"/>
      <c r="W45" s="49"/>
      <c r="X45" s="49"/>
      <c r="Y45" s="49"/>
      <c r="Z45" s="49"/>
      <c r="AA45" s="49"/>
      <c r="AB45" s="49"/>
      <c r="AC45" s="49"/>
      <c r="AD45" s="49"/>
      <c r="AE45" s="49"/>
      <c r="AF45" s="49"/>
      <c r="AG45" s="49"/>
      <c r="AH45" s="49"/>
      <c r="AI45" s="49"/>
      <c r="AJ45" s="49"/>
      <c r="AK45" s="49"/>
      <c r="AL45" s="49"/>
    </row>
    <row r="46" spans="1:38" hidden="1">
      <c r="A46" s="922" t="s">
        <v>422</v>
      </c>
      <c r="B46" s="922"/>
      <c r="C46" s="125">
        <f>(SUMPRODUCT(Zones!G14:G19,Zones!I14:I19)+SUMPRODUCT(Zones!G21:G23,Zones!I21:I23))/Zones!G28</f>
        <v>0.47741889915865893</v>
      </c>
      <c r="U46" s="30"/>
      <c r="V46" s="48"/>
      <c r="W46" s="49"/>
      <c r="X46" s="49"/>
      <c r="Y46" s="49"/>
      <c r="Z46" s="49"/>
      <c r="AA46" s="49"/>
      <c r="AB46" s="49"/>
      <c r="AC46" s="49"/>
      <c r="AD46" s="49"/>
      <c r="AE46" s="49"/>
      <c r="AF46" s="49"/>
      <c r="AG46" s="49"/>
      <c r="AH46" s="49"/>
      <c r="AI46" s="49"/>
      <c r="AJ46" s="49"/>
      <c r="AK46" s="49"/>
      <c r="AL46" s="49"/>
    </row>
    <row r="47" spans="1:38" hidden="1">
      <c r="A47" s="922" t="s">
        <v>423</v>
      </c>
      <c r="B47" s="922"/>
      <c r="C47" s="126">
        <v>0.33</v>
      </c>
      <c r="U47" s="30"/>
      <c r="V47" s="48"/>
      <c r="W47" s="49"/>
      <c r="X47" s="49"/>
      <c r="Y47" s="49"/>
      <c r="Z47" s="49"/>
      <c r="AA47" s="49"/>
      <c r="AB47" s="49"/>
      <c r="AC47" s="49"/>
      <c r="AD47" s="49"/>
      <c r="AE47" s="49"/>
      <c r="AF47" s="49"/>
      <c r="AG47" s="49"/>
      <c r="AH47" s="49"/>
      <c r="AI47" s="49"/>
      <c r="AJ47" s="49"/>
      <c r="AK47" s="49"/>
      <c r="AL47" s="49"/>
    </row>
    <row r="48" spans="1:38" hidden="1">
      <c r="A48" s="794"/>
      <c r="B48" s="794"/>
      <c r="C48" s="126"/>
      <c r="U48" s="30"/>
      <c r="V48" s="48"/>
      <c r="W48" s="49"/>
      <c r="X48" s="49"/>
      <c r="Y48" s="49"/>
      <c r="Z48" s="49"/>
      <c r="AA48" s="49"/>
      <c r="AB48" s="49"/>
      <c r="AC48" s="49"/>
      <c r="AD48" s="49"/>
      <c r="AE48" s="49"/>
      <c r="AF48" s="49"/>
      <c r="AG48" s="49"/>
      <c r="AH48" s="49"/>
      <c r="AI48" s="49"/>
      <c r="AJ48" s="49"/>
      <c r="AK48" s="49"/>
      <c r="AL48" s="49"/>
    </row>
    <row r="49" spans="1:38" hidden="1">
      <c r="A49" s="75"/>
      <c r="U49" s="30"/>
      <c r="V49" s="48"/>
      <c r="W49" s="49"/>
      <c r="X49" s="49"/>
      <c r="Y49" s="49"/>
      <c r="Z49" s="49"/>
      <c r="AA49" s="49"/>
      <c r="AB49" s="49"/>
      <c r="AC49" s="49"/>
      <c r="AD49" s="49"/>
      <c r="AE49" s="49"/>
      <c r="AF49" s="49"/>
      <c r="AG49" s="49"/>
      <c r="AH49" s="49"/>
      <c r="AI49" s="49"/>
      <c r="AJ49" s="49"/>
      <c r="AK49" s="49"/>
      <c r="AL49" s="49"/>
    </row>
    <row r="50" spans="1:38" hidden="1">
      <c r="A50" s="11" t="s">
        <v>424</v>
      </c>
      <c r="U50" s="30"/>
      <c r="V50" s="48"/>
      <c r="W50" s="49"/>
      <c r="X50" s="49"/>
      <c r="Y50" s="49"/>
      <c r="Z50" s="49"/>
      <c r="AA50" s="49"/>
      <c r="AB50" s="49"/>
      <c r="AC50" s="49"/>
      <c r="AD50" s="49"/>
      <c r="AE50" s="49"/>
      <c r="AF50" s="49"/>
      <c r="AG50" s="49"/>
      <c r="AH50" s="49"/>
      <c r="AI50" s="49"/>
      <c r="AJ50" s="49"/>
      <c r="AK50" s="49"/>
      <c r="AL50" s="49"/>
    </row>
    <row r="51" spans="1:38" ht="18" hidden="1" customHeight="1">
      <c r="A51" t="s">
        <v>425</v>
      </c>
      <c r="D51" s="31"/>
    </row>
    <row r="52" spans="1:38" hidden="1">
      <c r="U52" s="30"/>
      <c r="V52" s="48"/>
      <c r="W52" s="49"/>
      <c r="X52" s="49"/>
      <c r="Y52" s="49"/>
      <c r="Z52" s="49"/>
      <c r="AA52" s="49"/>
      <c r="AB52" s="49"/>
      <c r="AC52" s="49"/>
      <c r="AD52" s="49"/>
      <c r="AE52" s="49"/>
      <c r="AF52" s="49"/>
      <c r="AG52" s="49"/>
      <c r="AH52" s="49"/>
      <c r="AI52" s="49"/>
      <c r="AJ52" s="49"/>
      <c r="AK52" s="49"/>
      <c r="AL52" s="49"/>
    </row>
    <row r="53" spans="1:38" hidden="1">
      <c r="U53" s="30"/>
      <c r="V53" s="48"/>
      <c r="W53" s="49"/>
      <c r="X53" s="49"/>
      <c r="Y53" s="49"/>
      <c r="Z53" s="49"/>
      <c r="AA53" s="49"/>
      <c r="AB53" s="49"/>
      <c r="AC53" s="49"/>
      <c r="AD53" s="49"/>
      <c r="AE53" s="49"/>
      <c r="AF53" s="49"/>
      <c r="AG53" s="49"/>
      <c r="AH53" s="49"/>
      <c r="AI53" s="49"/>
      <c r="AJ53" s="49"/>
      <c r="AK53" s="49"/>
      <c r="AL53" s="49"/>
    </row>
    <row r="54" spans="1:38" hidden="1">
      <c r="U54" s="30"/>
      <c r="V54" s="48"/>
      <c r="W54" s="49"/>
      <c r="X54" s="49"/>
      <c r="Y54" s="49"/>
      <c r="Z54" s="49"/>
      <c r="AA54" s="49"/>
      <c r="AB54" s="49"/>
      <c r="AC54" s="49"/>
      <c r="AD54" s="49"/>
      <c r="AE54" s="49"/>
      <c r="AF54" s="49"/>
      <c r="AG54" s="49"/>
      <c r="AH54" s="49"/>
      <c r="AI54" s="49"/>
      <c r="AJ54" s="49"/>
      <c r="AK54" s="49"/>
      <c r="AL54" s="49"/>
    </row>
    <row r="55" spans="1:38" hidden="1">
      <c r="U55" s="30"/>
      <c r="V55" s="48"/>
      <c r="W55" s="49"/>
      <c r="X55" s="49"/>
      <c r="Y55" s="49"/>
      <c r="Z55" s="49"/>
      <c r="AA55" s="49"/>
      <c r="AB55" s="49"/>
      <c r="AC55" s="49"/>
      <c r="AD55" s="49"/>
      <c r="AE55" s="49"/>
      <c r="AF55" s="49"/>
      <c r="AG55" s="49"/>
      <c r="AH55" s="49"/>
      <c r="AI55" s="49"/>
      <c r="AJ55" s="49"/>
      <c r="AK55" s="49"/>
      <c r="AL55" s="49"/>
    </row>
    <row r="56" spans="1:38" hidden="1">
      <c r="U56" s="30"/>
      <c r="V56" s="48"/>
      <c r="W56" s="49"/>
      <c r="X56" s="49"/>
      <c r="Y56" s="49"/>
      <c r="Z56" s="49"/>
      <c r="AA56" s="49"/>
      <c r="AB56" s="49"/>
      <c r="AC56" s="49"/>
      <c r="AD56" s="49"/>
      <c r="AE56" s="49"/>
      <c r="AF56" s="49"/>
      <c r="AG56" s="49"/>
      <c r="AH56" s="49"/>
      <c r="AI56" s="49"/>
      <c r="AJ56" s="49"/>
      <c r="AK56" s="49"/>
      <c r="AL56" s="49"/>
    </row>
    <row r="57" spans="1:38" hidden="1">
      <c r="U57" s="30"/>
      <c r="V57" s="48"/>
      <c r="W57" s="49"/>
      <c r="X57" s="49"/>
      <c r="Y57" s="49"/>
      <c r="Z57" s="49"/>
      <c r="AA57" s="49"/>
      <c r="AB57" s="49"/>
      <c r="AC57" s="49"/>
      <c r="AD57" s="49"/>
      <c r="AE57" s="49"/>
      <c r="AF57" s="49"/>
      <c r="AG57" s="49"/>
      <c r="AH57" s="49"/>
      <c r="AI57" s="49"/>
      <c r="AJ57" s="49"/>
      <c r="AK57" s="49"/>
      <c r="AL57" s="49"/>
    </row>
    <row r="58" spans="1:38" hidden="1">
      <c r="U58" s="30"/>
      <c r="V58" s="48"/>
      <c r="W58" s="49"/>
      <c r="X58" s="49"/>
      <c r="Y58" s="49"/>
      <c r="Z58" s="49"/>
      <c r="AA58" s="49"/>
      <c r="AB58" s="49"/>
      <c r="AC58" s="49"/>
      <c r="AD58" s="49"/>
      <c r="AE58" s="49"/>
      <c r="AF58" s="49"/>
      <c r="AG58" s="49"/>
      <c r="AH58" s="49"/>
      <c r="AI58" s="49"/>
      <c r="AJ58" s="49"/>
      <c r="AK58" s="49"/>
      <c r="AL58" s="49"/>
    </row>
    <row r="59" spans="1:38" hidden="1">
      <c r="U59" s="30"/>
      <c r="V59" s="48"/>
      <c r="W59" s="49"/>
      <c r="X59" s="49"/>
      <c r="Y59" s="49"/>
      <c r="Z59" s="49"/>
      <c r="AA59" s="49"/>
      <c r="AB59" s="49"/>
      <c r="AC59" s="49"/>
      <c r="AD59" s="49"/>
      <c r="AE59" s="49"/>
      <c r="AF59" s="49"/>
      <c r="AG59" s="49"/>
      <c r="AH59" s="49"/>
      <c r="AI59" s="49"/>
      <c r="AJ59" s="49"/>
      <c r="AK59" s="49"/>
      <c r="AL59" s="49"/>
    </row>
    <row r="60" spans="1:38" s="8" customFormat="1" ht="31.9" hidden="1" customHeight="1">
      <c r="B60" s="128"/>
      <c r="C60" s="128"/>
      <c r="D60" s="128"/>
      <c r="E60" s="128"/>
      <c r="F60" s="128"/>
      <c r="G60" s="128"/>
      <c r="H60" s="128"/>
      <c r="I60" s="128"/>
      <c r="J60" s="128"/>
      <c r="K60" s="128"/>
      <c r="L60" s="128"/>
      <c r="M60" s="128"/>
      <c r="N60" s="128"/>
      <c r="O60" s="128"/>
      <c r="P60" s="128"/>
      <c r="Q60" s="128"/>
      <c r="R60" s="128"/>
      <c r="S60" s="128"/>
      <c r="T60" s="128"/>
      <c r="U60" s="128"/>
      <c r="V60" s="128"/>
      <c r="W60" s="128"/>
      <c r="X60" s="128"/>
    </row>
    <row r="61" spans="1:38" ht="17.45" hidden="1">
      <c r="A61" s="308" t="s">
        <v>426</v>
      </c>
      <c r="B61" s="310"/>
      <c r="C61" s="310"/>
      <c r="D61" s="310"/>
      <c r="E61" s="310"/>
      <c r="F61" s="310"/>
      <c r="G61" s="310"/>
      <c r="H61" s="310"/>
      <c r="I61" s="310"/>
      <c r="J61" s="69"/>
      <c r="K61" s="69"/>
      <c r="L61" s="69"/>
      <c r="M61" s="69"/>
      <c r="N61" s="69"/>
      <c r="O61" s="69"/>
      <c r="P61" s="69"/>
      <c r="Q61" s="69"/>
      <c r="R61" s="69"/>
      <c r="S61" s="69"/>
      <c r="T61" s="69"/>
      <c r="U61" s="69"/>
      <c r="V61" s="69"/>
      <c r="W61" s="69"/>
      <c r="X61" s="69"/>
    </row>
    <row r="62" spans="1:38" hidden="1">
      <c r="A62" s="297"/>
      <c r="B62" s="923" t="s">
        <v>356</v>
      </c>
      <c r="C62" s="923"/>
      <c r="D62" s="923"/>
      <c r="E62" s="923" t="s">
        <v>357</v>
      </c>
      <c r="F62" s="923"/>
      <c r="G62" s="298" t="s">
        <v>358</v>
      </c>
      <c r="H62" s="298" t="s">
        <v>427</v>
      </c>
      <c r="I62" s="297"/>
      <c r="J62" s="297"/>
      <c r="K62" s="297"/>
      <c r="L62" s="297"/>
    </row>
    <row r="63" spans="1:38" hidden="1">
      <c r="A63" s="297"/>
      <c r="B63" s="920" t="s">
        <v>428</v>
      </c>
      <c r="C63" s="920" t="s">
        <v>429</v>
      </c>
      <c r="D63" s="920" t="s">
        <v>430</v>
      </c>
      <c r="E63" s="920" t="s">
        <v>431</v>
      </c>
      <c r="F63" s="920" t="s">
        <v>432</v>
      </c>
      <c r="G63" s="920" t="s">
        <v>433</v>
      </c>
      <c r="H63" s="919" t="s">
        <v>430</v>
      </c>
      <c r="I63" s="297"/>
      <c r="J63" s="297"/>
      <c r="K63" s="297"/>
      <c r="L63" s="297"/>
    </row>
    <row r="64" spans="1:38" ht="25.9" hidden="1" customHeight="1">
      <c r="A64" s="297"/>
      <c r="B64" s="920"/>
      <c r="C64" s="919"/>
      <c r="D64" s="920"/>
      <c r="E64" s="920"/>
      <c r="F64" s="919"/>
      <c r="G64" s="919"/>
      <c r="H64" s="919"/>
      <c r="I64" s="297"/>
      <c r="J64" s="297"/>
      <c r="K64" s="297"/>
      <c r="L64" s="297"/>
    </row>
    <row r="65" spans="1:47" ht="133.9" hidden="1" customHeight="1">
      <c r="A65" s="299" t="s">
        <v>434</v>
      </c>
      <c r="B65" s="300">
        <v>0.99109825822186048</v>
      </c>
      <c r="C65" s="301" t="s">
        <v>435</v>
      </c>
      <c r="D65" s="302" t="s">
        <v>436</v>
      </c>
      <c r="E65" s="303">
        <v>0.97514167089669301</v>
      </c>
      <c r="F65" s="301" t="s">
        <v>437</v>
      </c>
      <c r="G65" s="301" t="s">
        <v>438</v>
      </c>
      <c r="H65" s="304" t="s">
        <v>439</v>
      </c>
      <c r="I65" s="297"/>
      <c r="J65" s="297"/>
      <c r="K65" s="297"/>
      <c r="L65" s="297"/>
    </row>
    <row r="66" spans="1:47" hidden="1">
      <c r="A66" s="297"/>
      <c r="B66" s="297"/>
      <c r="C66" s="297"/>
      <c r="D66" s="297"/>
      <c r="E66" s="297"/>
      <c r="F66" s="297"/>
      <c r="G66" s="297"/>
      <c r="H66" s="297"/>
      <c r="I66" s="297"/>
      <c r="J66" s="297"/>
      <c r="K66" s="297"/>
      <c r="L66" s="297"/>
    </row>
    <row r="67" spans="1:47" hidden="1">
      <c r="A67" s="297"/>
      <c r="B67" s="297"/>
      <c r="C67" s="297"/>
      <c r="D67" s="297"/>
      <c r="E67" s="297"/>
      <c r="F67" s="297"/>
      <c r="G67" s="297"/>
      <c r="H67" s="297"/>
      <c r="I67" s="297"/>
      <c r="J67" s="297"/>
      <c r="K67" s="297"/>
      <c r="L67" s="297"/>
    </row>
    <row r="68" spans="1:47" ht="15.6" hidden="1">
      <c r="A68" s="308" t="s">
        <v>440</v>
      </c>
      <c r="B68" s="309"/>
      <c r="C68" s="309"/>
      <c r="D68" s="309"/>
      <c r="E68" s="309"/>
      <c r="F68" s="309"/>
      <c r="G68" s="309"/>
      <c r="H68" s="309"/>
      <c r="I68" s="70"/>
      <c r="J68" s="70"/>
      <c r="K68" s="70"/>
      <c r="L68" s="70"/>
      <c r="M68" s="70"/>
      <c r="N68" s="70"/>
      <c r="O68" s="70"/>
      <c r="P68" s="70"/>
      <c r="Q68" s="70"/>
      <c r="R68" s="70"/>
      <c r="S68" s="70"/>
      <c r="T68" s="70"/>
      <c r="U68" s="70"/>
      <c r="V68" s="70"/>
      <c r="W68" s="70"/>
      <c r="X68" s="70"/>
      <c r="Y68" s="70"/>
      <c r="Z68" s="70"/>
      <c r="AA68" s="70"/>
      <c r="AB68" s="70"/>
      <c r="AC68" s="70"/>
      <c r="AD68" s="70"/>
      <c r="AE68" s="70"/>
      <c r="AF68" s="70"/>
      <c r="AG68" s="70"/>
      <c r="AH68" s="70"/>
      <c r="AI68" s="70"/>
      <c r="AJ68" s="70"/>
      <c r="AK68" s="70"/>
      <c r="AL68" s="70"/>
      <c r="AM68"/>
      <c r="AN68"/>
      <c r="AO68"/>
      <c r="AP68"/>
      <c r="AQ68"/>
      <c r="AR68"/>
      <c r="AS68"/>
      <c r="AT68"/>
      <c r="AU68"/>
    </row>
    <row r="69" spans="1:47" hidden="1">
      <c r="A69" s="470" t="s">
        <v>441</v>
      </c>
      <c r="B69" s="297"/>
      <c r="C69" s="297"/>
      <c r="D69" s="470" t="s">
        <v>442</v>
      </c>
      <c r="E69" s="297"/>
      <c r="F69" s="297"/>
      <c r="G69" s="470" t="s">
        <v>443</v>
      </c>
      <c r="H69" s="297"/>
      <c r="I69" s="297"/>
      <c r="J69" s="297"/>
      <c r="K69" s="297"/>
      <c r="L69" s="297"/>
    </row>
    <row r="70" spans="1:47" hidden="1">
      <c r="A70" s="297"/>
      <c r="B70" s="297"/>
      <c r="C70" s="297"/>
      <c r="D70" s="297"/>
      <c r="E70" s="297"/>
      <c r="F70" s="297"/>
      <c r="G70" s="297"/>
      <c r="H70" s="297"/>
      <c r="I70" s="297"/>
      <c r="J70" s="297"/>
      <c r="K70" s="297"/>
      <c r="L70" s="297"/>
    </row>
    <row r="71" spans="1:47" ht="14.45" hidden="1">
      <c r="A71"/>
      <c r="B71" s="297"/>
      <c r="C71" s="297"/>
      <c r="D71" s="297"/>
      <c r="E71" s="297"/>
      <c r="F71" s="297"/>
      <c r="G71" s="297"/>
      <c r="H71" s="297"/>
      <c r="I71" s="297"/>
      <c r="J71" s="297"/>
      <c r="K71" s="297"/>
      <c r="L71" s="297"/>
    </row>
    <row r="72" spans="1:47" hidden="1">
      <c r="A72" s="297"/>
      <c r="B72" s="297"/>
      <c r="C72" s="297"/>
      <c r="D72" s="297"/>
      <c r="E72" s="297"/>
      <c r="F72" s="297"/>
      <c r="G72" s="297"/>
      <c r="H72" s="297"/>
      <c r="I72" s="297"/>
      <c r="J72" s="297"/>
      <c r="K72" s="297"/>
      <c r="L72" s="297"/>
    </row>
    <row r="73" spans="1:47" hidden="1">
      <c r="A73" s="297"/>
      <c r="B73" s="297"/>
      <c r="C73" s="297"/>
      <c r="D73" s="297"/>
      <c r="E73" s="297"/>
      <c r="F73" s="297"/>
      <c r="G73" s="297"/>
      <c r="H73" s="297"/>
      <c r="I73" s="297"/>
      <c r="J73" s="297"/>
      <c r="K73" s="297"/>
      <c r="L73" s="297"/>
    </row>
    <row r="74" spans="1:47" hidden="1">
      <c r="A74" s="297"/>
      <c r="B74" s="297"/>
      <c r="C74" s="297"/>
      <c r="D74" s="297"/>
      <c r="E74" s="297"/>
      <c r="F74" s="297"/>
      <c r="G74" s="297"/>
      <c r="H74" s="297"/>
      <c r="I74" s="297"/>
      <c r="J74" s="297"/>
      <c r="K74" s="297"/>
      <c r="L74" s="297"/>
    </row>
    <row r="75" spans="1:47" hidden="1">
      <c r="A75" s="297"/>
      <c r="B75" s="297"/>
      <c r="C75" s="297"/>
      <c r="D75" s="297"/>
      <c r="E75" s="297"/>
      <c r="F75" s="297"/>
      <c r="G75" s="297"/>
      <c r="H75" s="297"/>
      <c r="I75" s="297"/>
      <c r="J75" s="297"/>
      <c r="K75" s="297"/>
      <c r="L75" s="297"/>
    </row>
    <row r="76" spans="1:47" hidden="1">
      <c r="A76" s="297"/>
      <c r="B76" s="297"/>
      <c r="C76" s="297"/>
      <c r="D76" s="297"/>
      <c r="E76" s="297"/>
      <c r="F76" s="297"/>
      <c r="G76" s="297"/>
      <c r="H76" s="297"/>
      <c r="I76" s="297"/>
      <c r="J76" s="297"/>
      <c r="K76" s="297"/>
      <c r="L76" s="297"/>
    </row>
    <row r="77" spans="1:47" hidden="1">
      <c r="A77" s="297"/>
      <c r="B77" s="297"/>
      <c r="C77" s="297"/>
      <c r="D77" s="297"/>
      <c r="E77" s="297"/>
      <c r="F77" s="297"/>
      <c r="G77" s="297"/>
      <c r="H77" s="297"/>
      <c r="I77" s="297"/>
      <c r="J77" s="297"/>
      <c r="K77" s="297"/>
      <c r="L77" s="297"/>
    </row>
    <row r="78" spans="1:47" hidden="1">
      <c r="A78" s="297"/>
      <c r="B78" s="297"/>
      <c r="C78" s="297"/>
      <c r="D78" s="297"/>
      <c r="E78" s="297"/>
      <c r="F78" s="297"/>
      <c r="G78" s="297"/>
      <c r="H78" s="297"/>
      <c r="I78" s="297"/>
      <c r="J78" s="297"/>
      <c r="K78" s="297"/>
      <c r="L78" s="297"/>
    </row>
    <row r="79" spans="1:47" hidden="1">
      <c r="A79" s="297"/>
      <c r="B79" s="297"/>
      <c r="C79" s="297"/>
      <c r="D79" s="297"/>
      <c r="E79" s="297"/>
      <c r="F79" s="297"/>
      <c r="G79" s="297"/>
      <c r="H79" s="297"/>
      <c r="I79" s="297"/>
      <c r="J79" s="297"/>
      <c r="K79" s="297"/>
      <c r="L79" s="297"/>
    </row>
    <row r="80" spans="1:47" hidden="1">
      <c r="A80" s="297"/>
      <c r="B80" s="297"/>
      <c r="C80" s="297"/>
      <c r="D80" s="297"/>
      <c r="E80" s="297"/>
      <c r="F80" s="297"/>
      <c r="G80" s="297"/>
      <c r="H80" s="297"/>
      <c r="I80" s="297"/>
      <c r="J80" s="297"/>
      <c r="K80" s="297"/>
      <c r="L80" s="297"/>
    </row>
    <row r="81" spans="1:38" hidden="1">
      <c r="A81" s="297"/>
      <c r="B81" s="297"/>
      <c r="C81" s="297"/>
      <c r="D81" s="297"/>
      <c r="E81" s="297"/>
      <c r="F81" s="297"/>
      <c r="G81" s="297"/>
      <c r="H81" s="297"/>
      <c r="I81" s="297"/>
      <c r="J81" s="297"/>
      <c r="K81" s="297"/>
      <c r="L81" s="297"/>
    </row>
    <row r="82" spans="1:38" hidden="1">
      <c r="A82" s="297"/>
      <c r="B82" s="297"/>
      <c r="C82" s="297"/>
      <c r="D82" s="297"/>
      <c r="E82" s="297"/>
      <c r="F82" s="297"/>
      <c r="G82" s="297"/>
      <c r="H82" s="297"/>
      <c r="I82" s="297"/>
      <c r="J82" s="297"/>
      <c r="K82" s="297"/>
      <c r="L82" s="297"/>
    </row>
    <row r="83" spans="1:38" hidden="1">
      <c r="A83" s="297"/>
      <c r="B83" s="297"/>
      <c r="C83" s="297"/>
      <c r="D83" s="297"/>
      <c r="E83" s="297"/>
      <c r="F83" s="297"/>
      <c r="G83" s="297"/>
      <c r="H83" s="297"/>
      <c r="I83" s="297"/>
      <c r="J83" s="297"/>
      <c r="K83" s="297"/>
      <c r="L83" s="297"/>
    </row>
    <row r="84" spans="1:38" hidden="1">
      <c r="A84" s="297"/>
      <c r="B84" s="297"/>
      <c r="C84" s="297"/>
      <c r="D84" s="297"/>
      <c r="E84" s="297"/>
      <c r="F84" s="297"/>
      <c r="G84" s="297"/>
      <c r="H84" s="297"/>
      <c r="I84" s="297"/>
      <c r="J84" s="297"/>
      <c r="K84" s="297"/>
      <c r="L84" s="297"/>
    </row>
    <row r="85" spans="1:38" hidden="1">
      <c r="A85" s="297"/>
      <c r="B85" s="297"/>
      <c r="C85" s="297"/>
      <c r="D85" s="297"/>
      <c r="E85" s="297"/>
      <c r="F85" s="297"/>
      <c r="G85" s="297"/>
      <c r="H85" s="297"/>
      <c r="I85" s="297"/>
      <c r="J85" s="297"/>
      <c r="K85" s="297"/>
      <c r="L85" s="297"/>
    </row>
    <row r="86" spans="1:38" hidden="1">
      <c r="A86" s="297"/>
      <c r="B86" s="297"/>
      <c r="C86" s="297"/>
      <c r="D86" s="297"/>
      <c r="E86" s="297"/>
      <c r="F86" s="297"/>
      <c r="G86" s="297"/>
      <c r="H86" s="297"/>
      <c r="I86" s="297"/>
      <c r="J86" s="297"/>
      <c r="K86" s="297"/>
      <c r="L86" s="297"/>
    </row>
    <row r="87" spans="1:38" hidden="1">
      <c r="A87" s="297"/>
      <c r="B87" s="297"/>
      <c r="C87" s="297"/>
      <c r="D87" s="297"/>
      <c r="E87" s="297"/>
      <c r="F87" s="297"/>
      <c r="G87" s="297"/>
      <c r="H87" s="297"/>
      <c r="I87" s="297"/>
      <c r="J87" s="297"/>
      <c r="K87" s="297"/>
      <c r="L87" s="297"/>
    </row>
    <row r="88" spans="1:38" hidden="1">
      <c r="A88" s="297"/>
      <c r="B88" s="297"/>
      <c r="C88" s="297"/>
      <c r="D88" s="297"/>
      <c r="E88" s="297"/>
      <c r="F88" s="297"/>
      <c r="G88" s="297"/>
      <c r="H88" s="297"/>
      <c r="I88" s="297"/>
      <c r="J88" s="297"/>
      <c r="K88" s="297"/>
      <c r="L88" s="297"/>
    </row>
    <row r="89" spans="1:38" hidden="1">
      <c r="A89" s="297"/>
      <c r="B89" s="297"/>
      <c r="C89" s="297"/>
      <c r="D89" s="297"/>
      <c r="E89" s="297"/>
      <c r="F89" s="297"/>
      <c r="G89" s="297"/>
      <c r="H89" s="297"/>
      <c r="I89" s="297"/>
      <c r="J89" s="297"/>
      <c r="K89" s="297"/>
      <c r="L89" s="297"/>
    </row>
    <row r="90" spans="1:38" hidden="1">
      <c r="A90" s="297"/>
      <c r="B90" s="297"/>
      <c r="C90" s="297"/>
      <c r="D90" s="297"/>
      <c r="E90" s="297"/>
      <c r="F90" s="297"/>
      <c r="G90" s="297"/>
      <c r="H90" s="297"/>
      <c r="I90" s="297"/>
      <c r="J90" s="297"/>
      <c r="K90" s="297"/>
      <c r="L90" s="297"/>
    </row>
    <row r="91" spans="1:38" hidden="1">
      <c r="A91" s="297"/>
      <c r="B91" s="297"/>
      <c r="C91" s="297"/>
      <c r="D91" s="297"/>
      <c r="E91" s="297"/>
      <c r="F91" s="297"/>
      <c r="G91" s="297"/>
      <c r="H91" s="297"/>
      <c r="I91" s="297"/>
      <c r="J91" s="297"/>
      <c r="K91" s="297"/>
      <c r="L91" s="297"/>
    </row>
    <row r="92" spans="1:38" hidden="1">
      <c r="A92" s="297"/>
      <c r="B92" s="297"/>
      <c r="C92" s="297"/>
      <c r="D92" s="297"/>
      <c r="E92" s="297"/>
      <c r="F92" s="297"/>
      <c r="G92" s="297"/>
      <c r="H92" s="297"/>
      <c r="I92" s="297"/>
      <c r="J92" s="297"/>
      <c r="K92" s="297"/>
      <c r="L92" s="297"/>
    </row>
    <row r="93" spans="1:38" customFormat="1" ht="15.6" hidden="1">
      <c r="A93" s="308" t="s">
        <v>444</v>
      </c>
      <c r="B93" s="309"/>
      <c r="C93" s="309"/>
      <c r="D93" s="309"/>
      <c r="E93" s="309"/>
      <c r="F93" s="309"/>
      <c r="G93" s="309"/>
      <c r="H93" s="309"/>
      <c r="I93" s="70"/>
      <c r="J93" s="70"/>
      <c r="K93" s="70"/>
      <c r="L93" s="70"/>
      <c r="M93" s="70"/>
      <c r="N93" s="70"/>
      <c r="O93" s="70"/>
      <c r="P93" s="70"/>
      <c r="Q93" s="70"/>
      <c r="R93" s="70"/>
      <c r="S93" s="70"/>
      <c r="T93" s="70"/>
      <c r="U93" s="70"/>
      <c r="V93" s="70"/>
      <c r="W93" s="70"/>
      <c r="X93" s="70"/>
      <c r="Y93" s="70"/>
      <c r="Z93" s="70"/>
      <c r="AA93" s="70"/>
      <c r="AB93" s="70"/>
      <c r="AC93" s="70"/>
      <c r="AD93" s="70"/>
      <c r="AE93" s="70"/>
      <c r="AF93" s="70"/>
      <c r="AG93" s="70"/>
      <c r="AH93" s="70"/>
      <c r="AI93" s="70"/>
      <c r="AJ93" s="70"/>
      <c r="AK93" s="70"/>
      <c r="AL93" s="70"/>
    </row>
    <row r="94" spans="1:38" customFormat="1" ht="14.45" hidden="1">
      <c r="A94" s="70"/>
      <c r="B94" s="70"/>
      <c r="C94" s="70"/>
      <c r="D94" s="70"/>
      <c r="E94" s="70"/>
      <c r="F94" s="70"/>
      <c r="G94" s="70"/>
      <c r="H94" s="70"/>
      <c r="I94" s="70"/>
      <c r="J94" s="70"/>
      <c r="K94" s="70"/>
      <c r="L94" s="70"/>
      <c r="M94" s="70"/>
      <c r="N94" s="70"/>
      <c r="O94" s="70"/>
      <c r="P94" s="70"/>
      <c r="Q94" s="70"/>
      <c r="R94" s="70"/>
      <c r="S94" s="70"/>
      <c r="T94" s="70"/>
      <c r="U94" s="70"/>
      <c r="V94" s="70"/>
      <c r="W94" s="70"/>
      <c r="X94" s="70"/>
      <c r="Y94" s="70"/>
      <c r="Z94" s="70"/>
      <c r="AA94" s="70"/>
      <c r="AB94" s="70"/>
      <c r="AC94" s="70"/>
      <c r="AD94" s="70"/>
      <c r="AE94" s="70"/>
      <c r="AF94" s="70"/>
      <c r="AG94" s="70"/>
      <c r="AH94" s="70"/>
      <c r="AI94" s="70"/>
      <c r="AJ94" s="70"/>
      <c r="AK94" s="70"/>
      <c r="AL94" s="70"/>
    </row>
    <row r="95" spans="1:38" customFormat="1" ht="14.45" hidden="1">
      <c r="A95" s="70"/>
      <c r="B95" s="70"/>
      <c r="C95" s="70"/>
      <c r="D95" s="70"/>
      <c r="E95" s="70"/>
      <c r="F95" s="70"/>
      <c r="G95" s="305" t="s">
        <v>445</v>
      </c>
      <c r="H95" s="70"/>
      <c r="I95" s="70"/>
      <c r="J95" s="70"/>
      <c r="K95" s="70"/>
      <c r="L95" s="70"/>
      <c r="M95" s="70"/>
      <c r="N95" s="70"/>
      <c r="O95" s="70"/>
      <c r="P95" s="70"/>
      <c r="Q95" s="70"/>
      <c r="R95" s="70"/>
      <c r="S95" s="70"/>
      <c r="T95" s="70"/>
      <c r="U95" s="70"/>
      <c r="V95" s="70"/>
      <c r="W95" s="70"/>
      <c r="X95" s="70"/>
      <c r="Y95" s="70"/>
      <c r="Z95" s="70"/>
      <c r="AA95" s="70"/>
      <c r="AB95" s="70"/>
      <c r="AC95" s="70"/>
      <c r="AD95" s="70"/>
      <c r="AE95" s="70"/>
      <c r="AF95" s="70"/>
      <c r="AG95" s="70"/>
      <c r="AH95" s="70"/>
      <c r="AI95" s="70"/>
      <c r="AJ95" s="70"/>
    </row>
    <row r="96" spans="1:38" customFormat="1" ht="15.6" hidden="1">
      <c r="A96" s="319" t="s">
        <v>446</v>
      </c>
      <c r="B96" s="70"/>
      <c r="C96" s="70"/>
      <c r="D96" s="70"/>
      <c r="E96" s="70"/>
      <c r="F96" s="70"/>
      <c r="G96" s="70" t="s">
        <v>447</v>
      </c>
      <c r="H96" s="70"/>
      <c r="I96" s="70"/>
      <c r="J96" s="70"/>
      <c r="K96" s="70"/>
      <c r="L96" s="70"/>
      <c r="M96" s="70"/>
      <c r="N96" s="70"/>
      <c r="O96" s="70"/>
      <c r="P96" s="70"/>
      <c r="Q96" s="70"/>
      <c r="R96" s="70"/>
      <c r="S96" s="70"/>
      <c r="T96" s="70"/>
      <c r="U96" s="70"/>
      <c r="V96" s="70"/>
      <c r="W96" s="70"/>
      <c r="X96" s="70"/>
      <c r="Y96" s="70"/>
      <c r="Z96" s="70"/>
      <c r="AA96" s="70"/>
      <c r="AB96" s="70"/>
      <c r="AC96" s="70"/>
      <c r="AD96" s="70"/>
      <c r="AE96" s="70"/>
      <c r="AF96" s="70"/>
      <c r="AG96" s="70"/>
      <c r="AH96" s="70"/>
      <c r="AI96" s="70"/>
      <c r="AJ96" s="70"/>
    </row>
    <row r="97" spans="1:36" customFormat="1" ht="14.45" hidden="1">
      <c r="A97" s="70"/>
      <c r="B97" s="70"/>
      <c r="C97" s="70"/>
      <c r="D97" s="70"/>
      <c r="E97" s="70"/>
      <c r="F97" s="70"/>
      <c r="G97" s="70"/>
      <c r="H97" s="70"/>
      <c r="I97" s="70"/>
      <c r="J97" s="70"/>
      <c r="K97" s="70"/>
      <c r="L97" s="70"/>
      <c r="M97" s="70"/>
      <c r="N97" s="70"/>
      <c r="O97" s="70"/>
      <c r="P97" s="70"/>
      <c r="Q97" s="70"/>
      <c r="R97" s="70"/>
      <c r="S97" s="70"/>
      <c r="T97" s="70"/>
      <c r="U97" s="70"/>
      <c r="V97" s="70"/>
      <c r="W97" s="70"/>
      <c r="X97" s="70"/>
      <c r="Y97" s="70"/>
      <c r="Z97" s="70"/>
      <c r="AA97" s="70"/>
      <c r="AB97" s="70"/>
      <c r="AC97" s="70"/>
      <c r="AD97" s="70"/>
      <c r="AE97" s="70"/>
      <c r="AF97" s="70"/>
      <c r="AG97" s="70"/>
      <c r="AH97" s="70"/>
      <c r="AI97" s="70"/>
      <c r="AJ97" s="70"/>
    </row>
    <row r="98" spans="1:36" customFormat="1" ht="14.45" hidden="1">
      <c r="A98" s="70"/>
      <c r="B98" s="70"/>
      <c r="C98" s="70"/>
      <c r="D98" s="70"/>
      <c r="E98" s="70"/>
      <c r="F98" s="70"/>
      <c r="G98" s="70" t="s">
        <v>448</v>
      </c>
      <c r="H98" s="70"/>
      <c r="I98" s="70"/>
      <c r="J98" s="70"/>
      <c r="K98" s="70"/>
      <c r="L98" s="70"/>
      <c r="M98" s="70"/>
      <c r="N98" s="70"/>
      <c r="O98" s="70"/>
      <c r="P98" s="70"/>
      <c r="Q98" s="70"/>
      <c r="R98" s="70"/>
      <c r="S98" s="70"/>
      <c r="T98" s="70"/>
      <c r="U98" s="70"/>
      <c r="V98" s="70"/>
      <c r="W98" s="70"/>
      <c r="X98" s="70"/>
      <c r="Y98" s="70"/>
      <c r="Z98" s="70"/>
      <c r="AA98" s="70"/>
      <c r="AB98" s="70"/>
      <c r="AC98" s="70"/>
      <c r="AD98" s="70"/>
      <c r="AE98" s="70"/>
      <c r="AF98" s="70"/>
      <c r="AG98" s="70"/>
      <c r="AH98" s="70"/>
      <c r="AI98" s="70"/>
      <c r="AJ98" s="70"/>
    </row>
    <row r="99" spans="1:36" customFormat="1" ht="14.45" hidden="1">
      <c r="A99" s="70"/>
      <c r="B99" s="70"/>
      <c r="C99" s="70"/>
      <c r="D99" s="70"/>
      <c r="E99" s="70"/>
      <c r="F99" s="70"/>
      <c r="G99" s="70" t="s">
        <v>449</v>
      </c>
      <c r="H99" s="70"/>
      <c r="I99" s="70"/>
      <c r="J99" s="70"/>
      <c r="K99" s="70"/>
      <c r="L99" s="70"/>
      <c r="M99" s="70"/>
      <c r="N99" s="70"/>
      <c r="O99" s="70"/>
      <c r="P99" s="70"/>
      <c r="Q99" s="70"/>
      <c r="R99" s="70"/>
      <c r="S99" s="70"/>
      <c r="T99" s="70"/>
      <c r="U99" s="70"/>
      <c r="V99" s="70"/>
      <c r="W99" s="70"/>
      <c r="X99" s="70"/>
      <c r="Y99" s="70"/>
      <c r="Z99" s="70"/>
      <c r="AA99" s="70"/>
      <c r="AB99" s="70"/>
      <c r="AC99" s="70"/>
      <c r="AD99" s="70"/>
      <c r="AE99" s="70"/>
      <c r="AF99" s="70"/>
      <c r="AG99" s="70"/>
      <c r="AH99" s="70"/>
      <c r="AI99" s="70"/>
      <c r="AJ99" s="70"/>
    </row>
    <row r="100" spans="1:36" customFormat="1" ht="14.45" hidden="1">
      <c r="A100" s="70"/>
      <c r="B100" s="70"/>
      <c r="C100" s="70"/>
      <c r="D100" s="70"/>
      <c r="E100" s="70"/>
      <c r="F100" s="70"/>
      <c r="G100" s="70" t="s">
        <v>450</v>
      </c>
      <c r="H100" s="296"/>
      <c r="I100" s="70"/>
      <c r="J100" s="70"/>
      <c r="K100" s="70"/>
      <c r="L100" s="70"/>
      <c r="M100" s="70"/>
      <c r="N100" s="70"/>
      <c r="O100" s="70"/>
      <c r="P100" s="70"/>
      <c r="Q100" s="70"/>
      <c r="R100" s="70"/>
      <c r="S100" s="70"/>
      <c r="T100" s="70"/>
      <c r="U100" s="70"/>
      <c r="V100" s="70"/>
      <c r="W100" s="70"/>
      <c r="X100" s="70"/>
      <c r="Y100" s="70"/>
      <c r="Z100" s="70"/>
      <c r="AA100" s="70"/>
      <c r="AB100" s="70"/>
      <c r="AC100" s="70"/>
      <c r="AD100" s="70"/>
      <c r="AE100" s="70"/>
      <c r="AF100" s="70"/>
      <c r="AG100" s="70"/>
      <c r="AH100" s="70"/>
      <c r="AI100" s="70"/>
      <c r="AJ100" s="70"/>
    </row>
    <row r="101" spans="1:36" customFormat="1" ht="14.45" hidden="1">
      <c r="A101" s="70"/>
      <c r="B101" s="70"/>
      <c r="C101" s="70"/>
      <c r="D101" s="70"/>
      <c r="E101" s="70"/>
      <c r="F101" s="70"/>
      <c r="G101" s="10" t="s">
        <v>451</v>
      </c>
      <c r="H101" s="294"/>
      <c r="I101" s="294"/>
      <c r="J101" s="70"/>
      <c r="K101" s="70"/>
      <c r="L101" s="70"/>
      <c r="M101" s="70"/>
      <c r="N101" s="70"/>
      <c r="O101" s="70"/>
      <c r="P101" s="70"/>
      <c r="Q101" s="70"/>
      <c r="R101" s="70"/>
      <c r="S101" s="70"/>
      <c r="T101" s="70"/>
      <c r="U101" s="70"/>
      <c r="V101" s="70"/>
      <c r="W101" s="70"/>
      <c r="X101" s="70"/>
      <c r="Y101" s="70"/>
      <c r="Z101" s="70"/>
      <c r="AA101" s="70"/>
      <c r="AB101" s="70"/>
      <c r="AC101" s="70"/>
      <c r="AD101" s="70"/>
      <c r="AE101" s="70"/>
      <c r="AF101" s="70"/>
      <c r="AG101" s="70"/>
    </row>
    <row r="102" spans="1:36" customFormat="1" ht="14.45" hidden="1">
      <c r="A102" s="70"/>
      <c r="B102" s="70"/>
      <c r="C102" s="70"/>
      <c r="D102" s="70"/>
      <c r="E102" s="70"/>
      <c r="F102" s="70"/>
      <c r="G102" s="1" t="s">
        <v>452</v>
      </c>
      <c r="H102" s="236"/>
      <c r="I102" s="236"/>
      <c r="J102" s="70"/>
      <c r="K102" s="70"/>
      <c r="L102" s="70"/>
      <c r="M102" s="70"/>
      <c r="N102" s="70"/>
      <c r="O102" s="70"/>
      <c r="P102" s="70"/>
      <c r="Q102" s="70"/>
      <c r="R102" s="70"/>
      <c r="S102" s="70"/>
      <c r="T102" s="70"/>
      <c r="U102" s="70"/>
      <c r="V102" s="70"/>
      <c r="W102" s="70"/>
      <c r="X102" s="70"/>
      <c r="Y102" s="70"/>
      <c r="Z102" s="70"/>
      <c r="AA102" s="70"/>
      <c r="AB102" s="70"/>
      <c r="AC102" s="70"/>
      <c r="AD102" s="70"/>
      <c r="AE102" s="70"/>
      <c r="AF102" s="70"/>
      <c r="AG102" s="70"/>
    </row>
    <row r="103" spans="1:36" customFormat="1" ht="14.45" hidden="1">
      <c r="A103" s="70"/>
      <c r="B103" s="70"/>
      <c r="C103" s="70"/>
      <c r="D103" s="70"/>
      <c r="E103" s="70"/>
      <c r="F103" s="70"/>
      <c r="G103" s="1" t="s">
        <v>453</v>
      </c>
      <c r="H103" s="236"/>
      <c r="I103" s="236"/>
      <c r="J103" s="70"/>
      <c r="K103" s="70"/>
      <c r="L103" s="70"/>
      <c r="M103" s="70"/>
      <c r="N103" s="70"/>
      <c r="O103" s="70"/>
      <c r="P103" s="70"/>
      <c r="Q103" s="70"/>
      <c r="R103" s="70"/>
      <c r="S103" s="70"/>
      <c r="T103" s="70"/>
      <c r="U103" s="70"/>
      <c r="V103" s="70"/>
      <c r="W103" s="70"/>
      <c r="X103" s="70"/>
      <c r="Y103" s="70"/>
      <c r="Z103" s="70"/>
      <c r="AA103" s="70"/>
      <c r="AB103" s="70"/>
      <c r="AC103" s="70"/>
      <c r="AD103" s="70"/>
      <c r="AE103" s="70"/>
      <c r="AF103" s="70"/>
      <c r="AG103" s="70"/>
    </row>
    <row r="104" spans="1:36" s="70" customFormat="1" ht="13.9" hidden="1">
      <c r="G104" s="10" t="s">
        <v>454</v>
      </c>
    </row>
    <row r="105" spans="1:36" s="70" customFormat="1" ht="13.9" hidden="1">
      <c r="G105" s="295" t="s">
        <v>455</v>
      </c>
    </row>
    <row r="106" spans="1:36" s="70" customFormat="1" ht="14.45" hidden="1">
      <c r="G106" s="1" t="s">
        <v>456</v>
      </c>
    </row>
    <row r="107" spans="1:36" s="70" customFormat="1" ht="13.9" hidden="1">
      <c r="G107" s="70" t="s">
        <v>457</v>
      </c>
    </row>
    <row r="108" spans="1:36" s="70" customFormat="1" ht="13.9" hidden="1">
      <c r="G108" s="70" t="s">
        <v>458</v>
      </c>
    </row>
    <row r="109" spans="1:36" s="70" customFormat="1" ht="13.9" hidden="1">
      <c r="G109" s="70" t="s">
        <v>459</v>
      </c>
    </row>
    <row r="110" spans="1:36" s="70" customFormat="1" ht="13.9" hidden="1"/>
    <row r="111" spans="1:36" s="70" customFormat="1" ht="13.9" hidden="1">
      <c r="G111" s="70" t="s">
        <v>460</v>
      </c>
    </row>
    <row r="112" spans="1:36" s="70" customFormat="1" ht="13.9" hidden="1">
      <c r="G112" s="70" t="s">
        <v>461</v>
      </c>
    </row>
    <row r="113" spans="1:7" s="70" customFormat="1" ht="13.9" hidden="1">
      <c r="G113" s="70" t="s">
        <v>462</v>
      </c>
    </row>
    <row r="114" spans="1:7" s="70" customFormat="1" ht="13.9" hidden="1"/>
    <row r="115" spans="1:7" s="70" customFormat="1" ht="13.9" hidden="1"/>
    <row r="116" spans="1:7" s="70" customFormat="1" ht="13.9" hidden="1"/>
    <row r="117" spans="1:7" s="70" customFormat="1" ht="13.9" hidden="1"/>
    <row r="118" spans="1:7" s="70" customFormat="1" ht="13.9" hidden="1"/>
    <row r="119" spans="1:7" s="70" customFormat="1" ht="13.9" hidden="1"/>
    <row r="120" spans="1:7" s="70" customFormat="1" ht="13.9" hidden="1"/>
    <row r="121" spans="1:7" s="70" customFormat="1" ht="13.9" hidden="1"/>
    <row r="122" spans="1:7" s="70" customFormat="1" ht="13.9" hidden="1"/>
    <row r="123" spans="1:7" s="70" customFormat="1" ht="15.6" hidden="1">
      <c r="A123" s="111" t="s">
        <v>463</v>
      </c>
    </row>
    <row r="124" spans="1:7" s="70" customFormat="1" ht="13.9" hidden="1"/>
    <row r="125" spans="1:7" s="70" customFormat="1" ht="10.9" hidden="1" customHeight="1"/>
    <row r="126" spans="1:7" s="70" customFormat="1" ht="13.9" hidden="1"/>
    <row r="127" spans="1:7" s="70" customFormat="1" ht="13.9" hidden="1"/>
    <row r="128" spans="1:7" s="70" customFormat="1" ht="13.9" hidden="1"/>
    <row r="129" s="70" customFormat="1" ht="13.9" hidden="1"/>
    <row r="130" s="70" customFormat="1" ht="13.9" hidden="1"/>
    <row r="131" s="70" customFormat="1" ht="13.9" hidden="1"/>
    <row r="132" s="70" customFormat="1" ht="13.9" hidden="1"/>
    <row r="133" s="70" customFormat="1" ht="13.9" hidden="1"/>
    <row r="134" s="70" customFormat="1" ht="13.9" hidden="1"/>
    <row r="135" s="70" customFormat="1" ht="13.9" hidden="1"/>
    <row r="136" s="70" customFormat="1" ht="13.9" hidden="1"/>
    <row r="137" s="70" customFormat="1" ht="13.9" hidden="1"/>
    <row r="138" s="70" customFormat="1" ht="13.9" hidden="1"/>
    <row r="139" s="70" customFormat="1" ht="13.9" hidden="1"/>
    <row r="140" s="70" customFormat="1" ht="13.9" hidden="1"/>
    <row r="141" s="70" customFormat="1" ht="13.9" hidden="1"/>
    <row r="142" s="70" customFormat="1" ht="13.9" hidden="1"/>
    <row r="143" s="70" customFormat="1" ht="13.9" hidden="1"/>
    <row r="144" s="70" customFormat="1" ht="13.9" hidden="1"/>
    <row r="145" spans="1:39" s="70" customFormat="1" ht="13.9" hidden="1"/>
    <row r="146" spans="1:39" s="70" customFormat="1" ht="13.9" hidden="1"/>
    <row r="147" spans="1:39" s="70" customFormat="1" ht="13.9" hidden="1"/>
    <row r="148" spans="1:39" s="70" customFormat="1" ht="13.9" hidden="1"/>
    <row r="149" spans="1:39" s="70" customFormat="1" ht="13.9" hidden="1"/>
    <row r="150" spans="1:39" s="70" customFormat="1" ht="13.9" hidden="1"/>
    <row r="151" spans="1:39" s="70" customFormat="1" ht="13.9" hidden="1"/>
    <row r="152" spans="1:39" s="70" customFormat="1" ht="13.9" hidden="1"/>
    <row r="153" spans="1:39" s="70" customFormat="1" ht="15.6" hidden="1">
      <c r="A153" s="111" t="s">
        <v>464</v>
      </c>
    </row>
    <row r="154" spans="1:39" s="70" customFormat="1" ht="14.45" hidden="1">
      <c r="A154" s="70" t="s">
        <v>465</v>
      </c>
      <c r="D154" s="70" t="s">
        <v>466</v>
      </c>
      <c r="G154" t="s">
        <v>467</v>
      </c>
      <c r="J154" s="306" t="s">
        <v>468</v>
      </c>
    </row>
    <row r="155" spans="1:39" s="70" customFormat="1" ht="14.45" hidden="1">
      <c r="A155" s="4" t="s">
        <v>469</v>
      </c>
      <c r="D155" s="4" t="s">
        <v>470</v>
      </c>
      <c r="G155" s="4" t="s">
        <v>471</v>
      </c>
      <c r="J155" s="10" t="s">
        <v>472</v>
      </c>
    </row>
    <row r="156" spans="1:39" s="70" customFormat="1" ht="14.45" hidden="1">
      <c r="J156" s="4"/>
    </row>
    <row r="157" spans="1:39" s="70" customFormat="1" ht="13.9" hidden="1">
      <c r="J157" s="10"/>
    </row>
    <row r="158" spans="1:39" s="70" customFormat="1" ht="13.9" hidden="1">
      <c r="G158" s="10"/>
      <c r="J158" s="10"/>
    </row>
    <row r="159" spans="1:39" s="70" customFormat="1" ht="13.9" hidden="1">
      <c r="D159" s="10"/>
      <c r="E159" s="10"/>
      <c r="F159" s="10"/>
      <c r="G159" s="10"/>
      <c r="J159" s="10"/>
      <c r="K159" s="10"/>
      <c r="L159" s="10"/>
      <c r="N159" s="10"/>
      <c r="O159" s="10"/>
      <c r="P159" s="10"/>
      <c r="Q159" s="10"/>
      <c r="R159" s="10"/>
      <c r="S159" s="10"/>
      <c r="T159" s="10"/>
      <c r="U159" s="10"/>
      <c r="V159" s="10"/>
      <c r="W159" s="10"/>
      <c r="X159" s="10"/>
      <c r="Y159" s="10"/>
      <c r="Z159" s="10"/>
      <c r="AA159" s="10"/>
      <c r="AB159" s="10"/>
      <c r="AC159" s="10"/>
      <c r="AD159" s="10"/>
      <c r="AE159" s="10"/>
      <c r="AF159" s="10"/>
      <c r="AG159" s="10"/>
      <c r="AH159" s="10"/>
      <c r="AI159" s="10"/>
      <c r="AJ159" s="10"/>
      <c r="AK159" s="10"/>
      <c r="AL159" s="10"/>
      <c r="AM159" s="10"/>
    </row>
    <row r="160" spans="1:39" s="70" customFormat="1" ht="13.9" hidden="1">
      <c r="D160" s="10"/>
      <c r="E160" s="10"/>
      <c r="F160" s="10"/>
      <c r="G160" s="10"/>
      <c r="H160" s="10"/>
      <c r="I160" s="10"/>
      <c r="J160" s="10"/>
      <c r="K160" s="10"/>
      <c r="L160" s="10"/>
      <c r="N160" s="10"/>
      <c r="O160" s="10"/>
      <c r="P160" s="10"/>
      <c r="Q160" s="10"/>
      <c r="R160" s="10"/>
      <c r="S160" s="10"/>
      <c r="T160" s="10"/>
      <c r="U160" s="10"/>
      <c r="V160" s="10"/>
      <c r="W160" s="10"/>
      <c r="X160" s="10"/>
      <c r="Y160" s="10"/>
      <c r="Z160" s="10"/>
      <c r="AA160" s="10"/>
      <c r="AB160" s="10"/>
      <c r="AC160" s="10"/>
      <c r="AD160" s="10"/>
      <c r="AE160" s="10"/>
      <c r="AF160" s="10"/>
      <c r="AG160" s="10"/>
      <c r="AH160" s="10"/>
      <c r="AI160" s="10"/>
      <c r="AJ160" s="10"/>
      <c r="AK160" s="10"/>
      <c r="AL160" s="10"/>
      <c r="AM160" s="10"/>
    </row>
    <row r="161" spans="4:39" s="70" customFormat="1" ht="13.9" hidden="1">
      <c r="D161" s="10"/>
      <c r="E161" s="10"/>
      <c r="F161" s="10"/>
      <c r="G161" s="10"/>
      <c r="H161" s="10"/>
      <c r="I161" s="10"/>
      <c r="J161" s="10"/>
      <c r="K161" s="10"/>
      <c r="L161" s="10"/>
      <c r="N161" s="10"/>
      <c r="O161" s="10"/>
      <c r="P161" s="10"/>
      <c r="Q161" s="10"/>
      <c r="R161" s="10"/>
      <c r="S161" s="10"/>
      <c r="T161" s="10"/>
      <c r="U161" s="10"/>
      <c r="V161" s="10"/>
      <c r="W161" s="10"/>
      <c r="X161" s="10"/>
      <c r="Y161" s="10"/>
      <c r="Z161" s="10"/>
      <c r="AA161" s="10"/>
      <c r="AB161" s="10"/>
      <c r="AC161" s="10"/>
      <c r="AD161" s="10"/>
      <c r="AE161" s="10"/>
      <c r="AF161" s="10"/>
      <c r="AG161" s="10"/>
      <c r="AH161" s="10"/>
      <c r="AI161" s="10"/>
      <c r="AJ161" s="10"/>
      <c r="AK161" s="10"/>
      <c r="AL161" s="10"/>
      <c r="AM161" s="10"/>
    </row>
    <row r="162" spans="4:39" s="70" customFormat="1" ht="13.9" hidden="1">
      <c r="D162" s="10"/>
      <c r="E162" s="10"/>
      <c r="F162" s="10"/>
      <c r="G162" s="10"/>
      <c r="H162" s="10"/>
      <c r="I162" s="10"/>
      <c r="J162" s="10"/>
      <c r="K162" s="10"/>
      <c r="L162" s="10"/>
      <c r="M162" s="10"/>
      <c r="N162" s="10"/>
      <c r="O162" s="10"/>
      <c r="P162" s="10"/>
      <c r="Q162" s="10"/>
      <c r="R162" s="10"/>
      <c r="S162" s="10"/>
      <c r="T162" s="10"/>
      <c r="U162" s="10"/>
      <c r="V162" s="10"/>
      <c r="W162" s="10"/>
      <c r="X162" s="10"/>
      <c r="Y162" s="10"/>
      <c r="Z162" s="10"/>
      <c r="AA162" s="10"/>
      <c r="AB162" s="10"/>
      <c r="AC162" s="10"/>
      <c r="AD162" s="10"/>
      <c r="AE162" s="10"/>
      <c r="AF162" s="10"/>
      <c r="AG162" s="10"/>
      <c r="AH162" s="10"/>
      <c r="AI162" s="10"/>
      <c r="AJ162" s="10"/>
      <c r="AK162" s="10"/>
      <c r="AL162" s="10"/>
      <c r="AM162" s="10"/>
    </row>
    <row r="163" spans="4:39" s="70" customFormat="1" ht="13.9" hidden="1">
      <c r="D163" s="10"/>
      <c r="E163" s="10"/>
      <c r="F163" s="10"/>
      <c r="G163" s="10"/>
      <c r="H163" s="10"/>
      <c r="I163" s="10"/>
      <c r="J163" s="10"/>
      <c r="K163" s="10"/>
      <c r="L163" s="10"/>
      <c r="M163" s="10"/>
      <c r="N163" s="10"/>
      <c r="O163" s="10"/>
      <c r="P163" s="10"/>
      <c r="Q163" s="10"/>
      <c r="R163" s="10"/>
      <c r="S163" s="10"/>
      <c r="T163" s="10"/>
      <c r="U163" s="10"/>
      <c r="V163" s="10"/>
      <c r="W163" s="10"/>
      <c r="X163" s="10"/>
      <c r="Y163" s="10"/>
      <c r="Z163" s="10"/>
      <c r="AA163" s="10"/>
      <c r="AB163" s="10"/>
      <c r="AC163" s="10"/>
      <c r="AD163" s="10"/>
      <c r="AE163" s="10"/>
      <c r="AF163" s="10"/>
      <c r="AG163" s="10"/>
      <c r="AH163" s="10"/>
      <c r="AI163" s="10"/>
      <c r="AJ163" s="10"/>
      <c r="AK163" s="10"/>
      <c r="AL163" s="10"/>
      <c r="AM163" s="10"/>
    </row>
    <row r="164" spans="4:39" s="70" customFormat="1" ht="13.9" hidden="1">
      <c r="D164" s="10"/>
      <c r="E164" s="10"/>
      <c r="F164" s="10"/>
      <c r="G164" s="10"/>
      <c r="H164" s="10"/>
      <c r="I164" s="10"/>
      <c r="J164" s="10"/>
      <c r="K164" s="10"/>
      <c r="L164" s="10"/>
      <c r="M164" s="10"/>
      <c r="N164" s="10"/>
      <c r="O164" s="10"/>
      <c r="P164" s="10"/>
      <c r="Q164" s="10"/>
      <c r="R164" s="10"/>
      <c r="S164" s="10"/>
      <c r="T164" s="10"/>
      <c r="U164" s="10"/>
      <c r="V164" s="10"/>
      <c r="W164" s="10"/>
      <c r="X164" s="10"/>
      <c r="Y164" s="10"/>
      <c r="Z164" s="10"/>
      <c r="AA164" s="10"/>
      <c r="AB164" s="10"/>
      <c r="AC164" s="10"/>
      <c r="AD164" s="10"/>
      <c r="AE164" s="10"/>
      <c r="AF164" s="10"/>
      <c r="AG164" s="10"/>
      <c r="AH164" s="10"/>
      <c r="AI164" s="10"/>
      <c r="AJ164" s="10"/>
      <c r="AK164" s="10"/>
      <c r="AL164" s="10"/>
      <c r="AM164" s="10"/>
    </row>
    <row r="165" spans="4:39" s="70" customFormat="1" ht="13.9" hidden="1">
      <c r="D165" s="10"/>
      <c r="E165" s="10"/>
      <c r="F165" s="10"/>
      <c r="G165" s="10"/>
      <c r="H165" s="10"/>
      <c r="I165" s="10"/>
      <c r="J165" s="10"/>
      <c r="K165" s="10"/>
      <c r="L165" s="10"/>
      <c r="M165" s="10"/>
      <c r="N165" s="10"/>
      <c r="O165" s="10"/>
      <c r="P165" s="10"/>
      <c r="Q165" s="10"/>
      <c r="R165" s="10"/>
      <c r="S165" s="10"/>
      <c r="T165" s="10"/>
      <c r="U165" s="10"/>
      <c r="V165" s="10"/>
      <c r="W165" s="10"/>
      <c r="X165" s="10"/>
      <c r="Y165" s="10"/>
      <c r="Z165" s="10"/>
      <c r="AA165" s="10"/>
      <c r="AB165" s="10"/>
      <c r="AC165" s="10"/>
      <c r="AD165" s="10"/>
      <c r="AE165" s="10"/>
      <c r="AF165" s="10"/>
      <c r="AG165" s="10"/>
      <c r="AH165" s="10"/>
      <c r="AI165" s="10"/>
      <c r="AJ165" s="10"/>
      <c r="AK165" s="10"/>
      <c r="AL165" s="10"/>
    </row>
    <row r="166" spans="4:39" s="70" customFormat="1" ht="13.9" hidden="1">
      <c r="D166" s="10"/>
      <c r="E166" s="10"/>
      <c r="F166" s="10"/>
      <c r="G166" s="10"/>
      <c r="H166" s="10"/>
      <c r="I166" s="10"/>
      <c r="J166" s="10"/>
      <c r="K166" s="10"/>
      <c r="L166" s="10"/>
      <c r="M166" s="10"/>
      <c r="N166" s="10"/>
      <c r="O166" s="10"/>
      <c r="P166" s="10"/>
      <c r="Q166" s="10"/>
      <c r="R166" s="10"/>
      <c r="S166" s="10"/>
      <c r="T166" s="10"/>
      <c r="U166" s="10"/>
      <c r="V166" s="10"/>
      <c r="W166" s="10"/>
      <c r="X166" s="10"/>
      <c r="Y166" s="10"/>
      <c r="Z166" s="10"/>
      <c r="AA166" s="10"/>
      <c r="AB166" s="10"/>
      <c r="AC166" s="10"/>
      <c r="AD166" s="10"/>
      <c r="AE166" s="10"/>
      <c r="AF166" s="10"/>
      <c r="AG166" s="10"/>
      <c r="AH166" s="10"/>
      <c r="AI166" s="10"/>
      <c r="AJ166" s="10"/>
      <c r="AK166" s="10"/>
      <c r="AL166" s="10"/>
    </row>
    <row r="167" spans="4:39" s="70" customFormat="1" ht="13.9" hidden="1">
      <c r="D167" s="10"/>
      <c r="E167" s="10"/>
      <c r="F167" s="10"/>
      <c r="G167" s="10"/>
      <c r="H167" s="10"/>
      <c r="I167" s="10"/>
      <c r="J167" s="10"/>
      <c r="K167" s="10"/>
      <c r="L167" s="10"/>
      <c r="M167" s="10"/>
      <c r="N167" s="10"/>
      <c r="O167" s="10"/>
      <c r="P167" s="10"/>
      <c r="Q167" s="10"/>
      <c r="R167" s="10"/>
      <c r="S167" s="10"/>
      <c r="T167" s="10"/>
      <c r="U167" s="10"/>
      <c r="V167" s="10"/>
      <c r="W167" s="10"/>
      <c r="X167" s="10"/>
      <c r="Y167" s="10"/>
      <c r="Z167" s="10"/>
      <c r="AA167" s="10"/>
      <c r="AB167" s="10"/>
      <c r="AC167" s="10"/>
      <c r="AD167" s="10"/>
      <c r="AE167" s="10"/>
      <c r="AF167" s="10"/>
      <c r="AG167" s="10"/>
      <c r="AH167" s="10"/>
      <c r="AI167" s="10"/>
      <c r="AJ167" s="10"/>
      <c r="AK167" s="10"/>
      <c r="AL167" s="10"/>
    </row>
    <row r="168" spans="4:39" s="70" customFormat="1" ht="13.9" hidden="1">
      <c r="D168" s="10"/>
      <c r="E168" s="10"/>
      <c r="F168" s="10"/>
      <c r="G168" s="10"/>
      <c r="H168" s="10"/>
      <c r="I168" s="10"/>
      <c r="J168" s="10"/>
      <c r="K168" s="10"/>
      <c r="L168" s="10"/>
      <c r="M168" s="10"/>
      <c r="N168" s="10"/>
      <c r="O168" s="10"/>
      <c r="P168" s="10"/>
      <c r="Q168" s="10"/>
      <c r="R168" s="10"/>
      <c r="S168" s="10"/>
      <c r="T168" s="10"/>
      <c r="U168" s="10"/>
      <c r="V168" s="10"/>
      <c r="W168" s="10"/>
      <c r="X168" s="10"/>
      <c r="Y168" s="10"/>
      <c r="Z168" s="10"/>
      <c r="AA168" s="10"/>
      <c r="AB168" s="10"/>
      <c r="AC168" s="10"/>
      <c r="AD168" s="10"/>
      <c r="AE168" s="10"/>
      <c r="AF168" s="10"/>
      <c r="AG168" s="10"/>
      <c r="AH168" s="10"/>
      <c r="AI168" s="10"/>
      <c r="AJ168" s="10"/>
      <c r="AK168" s="10"/>
      <c r="AL168" s="10"/>
    </row>
    <row r="169" spans="4:39" s="70" customFormat="1" ht="13.9" hidden="1">
      <c r="D169" s="10"/>
      <c r="E169" s="10"/>
      <c r="F169" s="10"/>
      <c r="G169" s="10"/>
      <c r="H169" s="10"/>
      <c r="I169" s="10"/>
      <c r="J169" s="10"/>
      <c r="K169" s="10"/>
      <c r="L169" s="10"/>
      <c r="M169" s="10"/>
      <c r="N169" s="10"/>
      <c r="O169" s="10"/>
      <c r="P169" s="10"/>
      <c r="Q169" s="10"/>
      <c r="R169" s="10"/>
      <c r="S169" s="10"/>
      <c r="T169" s="10"/>
      <c r="U169" s="10"/>
      <c r="V169" s="10"/>
      <c r="W169" s="10"/>
      <c r="X169" s="10"/>
      <c r="Y169" s="10"/>
      <c r="Z169" s="10"/>
      <c r="AA169" s="10"/>
      <c r="AB169" s="10"/>
      <c r="AC169" s="10"/>
      <c r="AD169" s="10"/>
      <c r="AE169" s="10"/>
      <c r="AF169" s="10"/>
      <c r="AG169" s="10"/>
      <c r="AH169" s="10"/>
      <c r="AI169" s="10"/>
      <c r="AJ169" s="10"/>
      <c r="AK169" s="10"/>
      <c r="AL169" s="10"/>
    </row>
    <row r="170" spans="4:39" s="70" customFormat="1" ht="13.9" hidden="1">
      <c r="D170" s="10"/>
      <c r="E170" s="10"/>
      <c r="F170" s="10"/>
      <c r="G170" s="10"/>
      <c r="H170" s="10"/>
      <c r="I170" s="10"/>
      <c r="J170" s="10"/>
      <c r="K170" s="10"/>
      <c r="L170" s="10"/>
      <c r="M170" s="10"/>
      <c r="N170" s="10"/>
      <c r="O170" s="10"/>
      <c r="P170" s="10"/>
      <c r="Q170" s="10"/>
      <c r="R170" s="10"/>
      <c r="S170" s="10"/>
      <c r="T170" s="10"/>
      <c r="U170" s="10"/>
      <c r="V170" s="10"/>
      <c r="W170" s="10"/>
      <c r="X170" s="10"/>
      <c r="Y170" s="10"/>
      <c r="Z170" s="10"/>
      <c r="AA170" s="10"/>
      <c r="AB170" s="10"/>
      <c r="AC170" s="10"/>
      <c r="AD170" s="10"/>
      <c r="AE170" s="10"/>
      <c r="AF170" s="10"/>
      <c r="AG170" s="10"/>
      <c r="AH170" s="10"/>
      <c r="AI170" s="10"/>
      <c r="AJ170" s="10"/>
      <c r="AK170" s="10"/>
      <c r="AL170" s="10"/>
    </row>
    <row r="171" spans="4:39" s="70" customFormat="1" ht="13.9" hidden="1">
      <c r="D171" s="10"/>
      <c r="E171" s="10"/>
      <c r="F171" s="10"/>
      <c r="G171" s="10"/>
      <c r="H171" s="10"/>
      <c r="I171" s="10"/>
      <c r="J171" s="10"/>
      <c r="K171" s="10"/>
      <c r="L171" s="10"/>
      <c r="M171" s="10"/>
      <c r="N171" s="10"/>
      <c r="O171" s="10"/>
      <c r="P171" s="10"/>
      <c r="Q171" s="10"/>
      <c r="R171" s="10"/>
      <c r="S171" s="10"/>
      <c r="T171" s="10"/>
      <c r="U171" s="10"/>
      <c r="V171" s="10"/>
      <c r="W171" s="10"/>
      <c r="X171" s="10"/>
      <c r="Y171" s="10"/>
      <c r="Z171" s="10"/>
      <c r="AA171" s="10"/>
      <c r="AB171" s="10"/>
      <c r="AC171" s="10"/>
      <c r="AD171" s="10"/>
      <c r="AE171" s="10"/>
      <c r="AF171" s="10"/>
      <c r="AG171" s="10"/>
      <c r="AH171" s="10"/>
      <c r="AI171" s="10"/>
      <c r="AJ171" s="10"/>
      <c r="AK171" s="10"/>
      <c r="AL171" s="10"/>
    </row>
    <row r="172" spans="4:39" s="70" customFormat="1" ht="13.9" hidden="1">
      <c r="D172" s="10"/>
      <c r="E172" s="10"/>
      <c r="F172" s="10"/>
      <c r="G172" s="10"/>
      <c r="H172" s="10"/>
      <c r="I172" s="10"/>
      <c r="J172" s="10"/>
      <c r="K172" s="10"/>
      <c r="L172" s="10"/>
      <c r="M172" s="10"/>
      <c r="N172" s="10"/>
      <c r="O172" s="10"/>
      <c r="P172" s="10"/>
      <c r="Q172" s="10"/>
      <c r="R172" s="10"/>
      <c r="S172" s="10"/>
      <c r="T172" s="10"/>
      <c r="U172" s="10"/>
      <c r="V172" s="10"/>
      <c r="W172" s="10"/>
      <c r="X172" s="10"/>
      <c r="Y172" s="10"/>
      <c r="Z172" s="10"/>
      <c r="AA172" s="10"/>
      <c r="AB172" s="10"/>
      <c r="AC172" s="10"/>
      <c r="AD172" s="10"/>
      <c r="AE172" s="10"/>
      <c r="AF172" s="10"/>
      <c r="AG172" s="10"/>
      <c r="AH172" s="10"/>
      <c r="AI172" s="10"/>
      <c r="AJ172" s="10"/>
      <c r="AK172" s="10"/>
      <c r="AL172" s="10"/>
    </row>
    <row r="173" spans="4:39" s="70" customFormat="1" ht="13.9" hidden="1">
      <c r="D173" s="10"/>
      <c r="E173" s="10"/>
      <c r="F173" s="10"/>
      <c r="G173" s="10"/>
      <c r="H173" s="10"/>
      <c r="I173" s="10"/>
      <c r="J173" s="10"/>
      <c r="K173" s="10"/>
      <c r="L173" s="10"/>
      <c r="M173" s="10"/>
      <c r="N173" s="10"/>
      <c r="O173" s="10"/>
      <c r="P173" s="10"/>
      <c r="Q173" s="10"/>
      <c r="R173" s="10"/>
      <c r="S173" s="10"/>
      <c r="T173" s="10"/>
      <c r="U173" s="10"/>
      <c r="V173" s="10"/>
      <c r="W173" s="10"/>
      <c r="X173" s="10"/>
      <c r="Y173" s="10"/>
      <c r="Z173" s="10"/>
      <c r="AA173" s="10"/>
      <c r="AB173" s="10"/>
      <c r="AC173" s="10"/>
      <c r="AD173" s="10"/>
      <c r="AE173" s="10"/>
      <c r="AF173" s="10"/>
      <c r="AG173" s="10"/>
      <c r="AH173" s="10"/>
      <c r="AI173" s="10"/>
      <c r="AJ173" s="10"/>
      <c r="AK173" s="10"/>
      <c r="AL173" s="10"/>
    </row>
    <row r="174" spans="4:39" s="70" customFormat="1" ht="13.9" hidden="1">
      <c r="D174" s="10"/>
      <c r="E174" s="10"/>
      <c r="F174" s="10"/>
      <c r="G174" s="10"/>
      <c r="H174" s="10"/>
      <c r="I174" s="10"/>
      <c r="J174" s="10"/>
      <c r="K174" s="10"/>
      <c r="L174" s="10"/>
      <c r="M174" s="10"/>
      <c r="N174" s="10"/>
      <c r="O174" s="10"/>
      <c r="P174" s="10"/>
      <c r="Q174" s="10"/>
      <c r="R174" s="10"/>
      <c r="S174" s="10"/>
      <c r="T174" s="10"/>
      <c r="U174" s="10"/>
      <c r="V174" s="10"/>
      <c r="W174" s="10"/>
      <c r="X174" s="10"/>
      <c r="Y174" s="10"/>
      <c r="Z174" s="10"/>
      <c r="AA174" s="10"/>
      <c r="AB174" s="10"/>
      <c r="AC174" s="10"/>
      <c r="AD174" s="10"/>
      <c r="AE174" s="10"/>
      <c r="AF174" s="10"/>
      <c r="AG174" s="10"/>
      <c r="AH174" s="10"/>
      <c r="AI174" s="10"/>
      <c r="AJ174" s="10"/>
      <c r="AK174" s="10"/>
      <c r="AL174" s="10"/>
    </row>
    <row r="175" spans="4:39" hidden="1"/>
    <row r="176" spans="4:39" hidden="1"/>
    <row r="177" hidden="1"/>
    <row r="178" hidden="1"/>
    <row r="179" hidden="1"/>
    <row r="180" hidden="1"/>
    <row r="181" hidden="1"/>
    <row r="182" hidden="1"/>
    <row r="183" hidden="1"/>
    <row r="184" hidden="1"/>
    <row r="185" hidden="1"/>
    <row r="186" hidden="1"/>
    <row r="187" hidden="1"/>
    <row r="188" hidden="1"/>
    <row r="189" hidden="1"/>
    <row r="190" hidden="1"/>
    <row r="191" hidden="1"/>
    <row r="192" hidden="1"/>
    <row r="193" hidden="1"/>
    <row r="194" hidden="1"/>
    <row r="195" hidden="1"/>
    <row r="196" hidden="1"/>
    <row r="197" hidden="1"/>
    <row r="198" hidden="1"/>
    <row r="199" hidden="1"/>
    <row r="200" hidden="1"/>
    <row r="201" hidden="1"/>
    <row r="202" hidden="1"/>
    <row r="203" hidden="1"/>
    <row r="204" hidden="1"/>
    <row r="205" hidden="1"/>
    <row r="206" hidden="1"/>
    <row r="207" hidden="1"/>
    <row r="208" hidden="1"/>
    <row r="209" hidden="1"/>
    <row r="210" hidden="1"/>
    <row r="211" hidden="1"/>
    <row r="212" hidden="1"/>
    <row r="213" hidden="1"/>
    <row r="214" hidden="1"/>
    <row r="215" hidden="1"/>
    <row r="216" hidden="1"/>
    <row r="217" hidden="1"/>
    <row r="218" hidden="1"/>
    <row r="219" hidden="1"/>
    <row r="220" hidden="1"/>
    <row r="221" hidden="1"/>
    <row r="222" hidden="1"/>
    <row r="223" hidden="1"/>
    <row r="224" hidden="1"/>
    <row r="225" hidden="1"/>
    <row r="226" hidden="1"/>
    <row r="227" hidden="1"/>
    <row r="228" hidden="1"/>
    <row r="229" hidden="1"/>
    <row r="230" hidden="1"/>
    <row r="231" hidden="1"/>
    <row r="232" hidden="1"/>
    <row r="233" hidden="1"/>
    <row r="234" hidden="1"/>
    <row r="235" hidden="1"/>
    <row r="236" hidden="1"/>
    <row r="237" hidden="1"/>
  </sheetData>
  <mergeCells count="40">
    <mergeCell ref="B13:B15"/>
    <mergeCell ref="F24:F25"/>
    <mergeCell ref="G12:H12"/>
    <mergeCell ref="A11:H11"/>
    <mergeCell ref="E12:F12"/>
    <mergeCell ref="C13:C15"/>
    <mergeCell ref="D13:D15"/>
    <mergeCell ref="E16:F16"/>
    <mergeCell ref="E13:F15"/>
    <mergeCell ref="G13:H15"/>
    <mergeCell ref="G16:H16"/>
    <mergeCell ref="B24:B25"/>
    <mergeCell ref="H63:H64"/>
    <mergeCell ref="G63:G64"/>
    <mergeCell ref="G24:G25"/>
    <mergeCell ref="A47:B47"/>
    <mergeCell ref="E62:F62"/>
    <mergeCell ref="B63:B64"/>
    <mergeCell ref="C63:C64"/>
    <mergeCell ref="E63:E64"/>
    <mergeCell ref="F63:F64"/>
    <mergeCell ref="D63:D64"/>
    <mergeCell ref="B62:D62"/>
    <mergeCell ref="A46:B46"/>
    <mergeCell ref="A1:H1"/>
    <mergeCell ref="H3:H6"/>
    <mergeCell ref="B28:B31"/>
    <mergeCell ref="H28:H31"/>
    <mergeCell ref="H24:H25"/>
    <mergeCell ref="E17:F17"/>
    <mergeCell ref="G17:H17"/>
    <mergeCell ref="A24:A25"/>
    <mergeCell ref="A22:I22"/>
    <mergeCell ref="A28:A31"/>
    <mergeCell ref="A3:A4"/>
    <mergeCell ref="A5:A6"/>
    <mergeCell ref="I24:I25"/>
    <mergeCell ref="E28:E31"/>
    <mergeCell ref="F28:F31"/>
    <mergeCell ref="I30:I31"/>
  </mergeCells>
  <phoneticPr fontId="8" type="noConversion"/>
  <hyperlinks>
    <hyperlink ref="D155" r:id="rId1" display="https://www.pnnl.gov/main/publications/external/technical_reports/PNNL-25130.pdf" xr:uid="{615D8431-4E22-4F5F-B9EF-3F1CC9F9818E}"/>
    <hyperlink ref="J154" r:id="rId2" display="https://www1.eere.energy.gov/buildings/appliance_standards/pdfs/ashrae_final_rule_tsd_04_energy_use_2012_05_02.pdf" xr:uid="{CAD67D2D-7F19-4A68-8259-0648B01DB735}"/>
    <hyperlink ref="G155" r:id="rId3" display="PNNL-26917" xr:uid="{133BF7C7-80A2-4F14-A33F-9A3DD0D16FF4}"/>
    <hyperlink ref="A155" r:id="rId4" xr:uid="{A12D1E34-F1BB-4B1F-88AA-1E0C08DB0848}"/>
  </hyperlinks>
  <pageMargins left="0.7" right="0.7" top="0.75" bottom="0.75" header="0.3" footer="0.3"/>
  <pageSetup orientation="portrait" r:id="rId5"/>
  <drawing r:id="rId6"/>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F6EE6F-394F-4D80-ACF7-D1F35CC6BDAF}">
  <sheetPr codeName="Sheet7"/>
  <dimension ref="A1:R101"/>
  <sheetViews>
    <sheetView zoomScale="85" zoomScaleNormal="85" workbookViewId="0"/>
  </sheetViews>
  <sheetFormatPr defaultRowHeight="14.45"/>
  <cols>
    <col min="1" max="1" width="60.5703125" customWidth="1"/>
    <col min="5" max="5" width="9" customWidth="1"/>
    <col min="6" max="6" width="8.5703125" customWidth="1"/>
    <col min="7" max="7" width="9" customWidth="1"/>
    <col min="18" max="18" width="28" customWidth="1"/>
  </cols>
  <sheetData>
    <row r="1" spans="1:18" ht="29.45" customHeight="1">
      <c r="A1" s="901" t="str">
        <f>"Thermostat Setpoints - "&amp;Prototype!A2</f>
        <v>Thermostat Setpoints - HotelLarge</v>
      </c>
      <c r="B1" s="901"/>
      <c r="C1" s="901"/>
      <c r="D1" s="901"/>
      <c r="E1" s="901"/>
      <c r="F1" s="901"/>
      <c r="G1" s="901"/>
      <c r="H1" s="901"/>
      <c r="I1" s="901"/>
      <c r="J1" s="901"/>
      <c r="K1" s="901"/>
      <c r="L1" s="901"/>
      <c r="M1" s="901"/>
      <c r="N1" s="901"/>
      <c r="O1" s="901"/>
      <c r="P1" s="901"/>
      <c r="Q1" s="901"/>
      <c r="R1" s="901"/>
    </row>
    <row r="2" spans="1:18" ht="25.9" customHeight="1" thickBot="1">
      <c r="A2" s="87" t="s">
        <v>473</v>
      </c>
      <c r="B2" s="77" t="s">
        <v>245</v>
      </c>
      <c r="C2" s="77" t="s">
        <v>246</v>
      </c>
      <c r="D2" s="77" t="s">
        <v>247</v>
      </c>
      <c r="E2" s="77" t="s">
        <v>248</v>
      </c>
      <c r="F2" s="77" t="s">
        <v>249</v>
      </c>
      <c r="G2" s="77" t="s">
        <v>250</v>
      </c>
      <c r="H2" s="77" t="s">
        <v>251</v>
      </c>
      <c r="I2" s="77" t="s">
        <v>252</v>
      </c>
      <c r="J2" s="77" t="s">
        <v>253</v>
      </c>
      <c r="K2" s="77" t="s">
        <v>254</v>
      </c>
      <c r="L2" s="77" t="s">
        <v>255</v>
      </c>
      <c r="M2" s="77" t="s">
        <v>256</v>
      </c>
      <c r="N2" s="77" t="s">
        <v>257</v>
      </c>
      <c r="O2" s="77" t="s">
        <v>258</v>
      </c>
      <c r="P2" s="77" t="s">
        <v>259</v>
      </c>
      <c r="Q2" s="77" t="s">
        <v>260</v>
      </c>
      <c r="R2" s="77" t="s">
        <v>233</v>
      </c>
    </row>
    <row r="3" spans="1:18" ht="25.9" customHeight="1">
      <c r="A3" s="165" t="s">
        <v>474</v>
      </c>
      <c r="B3" s="131">
        <v>70</v>
      </c>
      <c r="C3" s="131">
        <v>70</v>
      </c>
      <c r="D3" s="131">
        <v>70</v>
      </c>
      <c r="E3" s="131">
        <v>70</v>
      </c>
      <c r="F3" s="131">
        <v>70</v>
      </c>
      <c r="G3" s="131">
        <v>70</v>
      </c>
      <c r="H3" s="131">
        <v>70</v>
      </c>
      <c r="I3" s="131">
        <v>70</v>
      </c>
      <c r="J3" s="131">
        <v>70</v>
      </c>
      <c r="K3" s="131">
        <v>70</v>
      </c>
      <c r="L3" s="131">
        <v>70</v>
      </c>
      <c r="M3" s="131">
        <v>70</v>
      </c>
      <c r="N3" s="131">
        <v>70</v>
      </c>
      <c r="O3" s="131">
        <v>70</v>
      </c>
      <c r="P3" s="131">
        <v>70</v>
      </c>
      <c r="Q3" s="132">
        <v>70</v>
      </c>
      <c r="R3" s="930" t="s">
        <v>475</v>
      </c>
    </row>
    <row r="4" spans="1:18" ht="25.9" customHeight="1">
      <c r="A4" s="88" t="s">
        <v>476</v>
      </c>
      <c r="B4" s="798">
        <v>60</v>
      </c>
      <c r="C4" s="798">
        <v>60</v>
      </c>
      <c r="D4" s="798">
        <v>60</v>
      </c>
      <c r="E4" s="798">
        <v>60</v>
      </c>
      <c r="F4" s="798">
        <v>60</v>
      </c>
      <c r="G4" s="798">
        <v>60</v>
      </c>
      <c r="H4" s="798">
        <v>60</v>
      </c>
      <c r="I4" s="798">
        <v>60</v>
      </c>
      <c r="J4" s="798">
        <v>60</v>
      </c>
      <c r="K4" s="798">
        <v>60</v>
      </c>
      <c r="L4" s="798">
        <v>60</v>
      </c>
      <c r="M4" s="798">
        <v>60</v>
      </c>
      <c r="N4" s="798">
        <v>60</v>
      </c>
      <c r="O4" s="798">
        <v>60</v>
      </c>
      <c r="P4" s="798">
        <v>60</v>
      </c>
      <c r="Q4" s="133">
        <v>60</v>
      </c>
      <c r="R4" s="931"/>
    </row>
    <row r="5" spans="1:18" ht="25.9" customHeight="1">
      <c r="A5" s="88" t="s">
        <v>477</v>
      </c>
      <c r="B5" s="798">
        <v>75</v>
      </c>
      <c r="C5" s="798">
        <v>75</v>
      </c>
      <c r="D5" s="798">
        <v>75</v>
      </c>
      <c r="E5" s="798">
        <v>75</v>
      </c>
      <c r="F5" s="798">
        <v>75</v>
      </c>
      <c r="G5" s="798">
        <v>75</v>
      </c>
      <c r="H5" s="798">
        <v>75</v>
      </c>
      <c r="I5" s="798">
        <v>75</v>
      </c>
      <c r="J5" s="798">
        <v>75</v>
      </c>
      <c r="K5" s="798">
        <v>75</v>
      </c>
      <c r="L5" s="798">
        <v>75</v>
      </c>
      <c r="M5" s="798">
        <v>75</v>
      </c>
      <c r="N5" s="798">
        <v>75</v>
      </c>
      <c r="O5" s="798">
        <v>75</v>
      </c>
      <c r="P5" s="798">
        <v>75</v>
      </c>
      <c r="Q5" s="133">
        <v>75</v>
      </c>
      <c r="R5" s="931"/>
    </row>
    <row r="6" spans="1:18" ht="25.9" customHeight="1" thickBot="1">
      <c r="A6" s="563" t="s">
        <v>478</v>
      </c>
      <c r="B6" s="134">
        <v>85</v>
      </c>
      <c r="C6" s="134">
        <v>85</v>
      </c>
      <c r="D6" s="134">
        <v>85</v>
      </c>
      <c r="E6" s="134">
        <v>85</v>
      </c>
      <c r="F6" s="134">
        <v>85</v>
      </c>
      <c r="G6" s="134">
        <v>85</v>
      </c>
      <c r="H6" s="134">
        <v>85</v>
      </c>
      <c r="I6" s="134">
        <v>85</v>
      </c>
      <c r="J6" s="134">
        <v>85</v>
      </c>
      <c r="K6" s="134">
        <v>85</v>
      </c>
      <c r="L6" s="134">
        <v>85</v>
      </c>
      <c r="M6" s="134">
        <v>85</v>
      </c>
      <c r="N6" s="134">
        <v>85</v>
      </c>
      <c r="O6" s="134">
        <v>85</v>
      </c>
      <c r="P6" s="134">
        <v>85</v>
      </c>
      <c r="Q6" s="135">
        <v>85</v>
      </c>
      <c r="R6" s="932"/>
    </row>
    <row r="7" spans="1:18" ht="25.9" customHeight="1">
      <c r="A7" s="165" t="s">
        <v>479</v>
      </c>
      <c r="B7" s="166">
        <v>68</v>
      </c>
      <c r="C7" s="166">
        <v>68</v>
      </c>
      <c r="D7" s="166">
        <v>68</v>
      </c>
      <c r="E7" s="166">
        <v>68</v>
      </c>
      <c r="F7" s="166">
        <v>68</v>
      </c>
      <c r="G7" s="166">
        <v>68</v>
      </c>
      <c r="H7" s="166">
        <v>68</v>
      </c>
      <c r="I7" s="166">
        <v>68</v>
      </c>
      <c r="J7" s="166">
        <v>68</v>
      </c>
      <c r="K7" s="166">
        <v>68</v>
      </c>
      <c r="L7" s="166">
        <v>68</v>
      </c>
      <c r="M7" s="166">
        <v>68</v>
      </c>
      <c r="N7" s="166">
        <v>68</v>
      </c>
      <c r="O7" s="166">
        <v>68</v>
      </c>
      <c r="P7" s="166">
        <v>68</v>
      </c>
      <c r="Q7" s="167">
        <v>68</v>
      </c>
      <c r="R7" s="927" t="s">
        <v>480</v>
      </c>
    </row>
    <row r="8" spans="1:18" ht="25.9" customHeight="1">
      <c r="A8" s="88" t="s">
        <v>481</v>
      </c>
      <c r="B8" s="798">
        <v>68</v>
      </c>
      <c r="C8" s="798">
        <v>68</v>
      </c>
      <c r="D8" s="798">
        <v>68</v>
      </c>
      <c r="E8" s="798">
        <v>68</v>
      </c>
      <c r="F8" s="798">
        <v>68</v>
      </c>
      <c r="G8" s="798">
        <v>68</v>
      </c>
      <c r="H8" s="798">
        <v>68</v>
      </c>
      <c r="I8" s="798">
        <v>68</v>
      </c>
      <c r="J8" s="798">
        <v>68</v>
      </c>
      <c r="K8" s="798">
        <v>68</v>
      </c>
      <c r="L8" s="798">
        <v>68</v>
      </c>
      <c r="M8" s="798">
        <v>68</v>
      </c>
      <c r="N8" s="798">
        <v>68</v>
      </c>
      <c r="O8" s="798">
        <v>68</v>
      </c>
      <c r="P8" s="798">
        <v>68</v>
      </c>
      <c r="Q8" s="89">
        <v>68</v>
      </c>
      <c r="R8" s="928"/>
    </row>
    <row r="9" spans="1:18" ht="25.9" customHeight="1">
      <c r="A9" s="88" t="s">
        <v>482</v>
      </c>
      <c r="B9" s="798">
        <v>78</v>
      </c>
      <c r="C9" s="798">
        <v>78</v>
      </c>
      <c r="D9" s="798">
        <v>78</v>
      </c>
      <c r="E9" s="798">
        <v>78</v>
      </c>
      <c r="F9" s="798">
        <v>78</v>
      </c>
      <c r="G9" s="798">
        <v>78</v>
      </c>
      <c r="H9" s="798">
        <v>68</v>
      </c>
      <c r="I9" s="798">
        <v>78</v>
      </c>
      <c r="J9" s="798">
        <v>78</v>
      </c>
      <c r="K9" s="798">
        <v>78</v>
      </c>
      <c r="L9" s="798">
        <v>78</v>
      </c>
      <c r="M9" s="798">
        <v>78</v>
      </c>
      <c r="N9" s="798">
        <v>78</v>
      </c>
      <c r="O9" s="798">
        <v>78</v>
      </c>
      <c r="P9" s="798">
        <v>78</v>
      </c>
      <c r="Q9" s="89">
        <v>78</v>
      </c>
      <c r="R9" s="928"/>
    </row>
    <row r="10" spans="1:18" ht="25.9" customHeight="1" thickBot="1">
      <c r="A10" s="563" t="s">
        <v>483</v>
      </c>
      <c r="B10" s="833">
        <v>78</v>
      </c>
      <c r="C10" s="833">
        <v>78</v>
      </c>
      <c r="D10" s="833">
        <v>78</v>
      </c>
      <c r="E10" s="833">
        <v>78</v>
      </c>
      <c r="F10" s="833">
        <v>78</v>
      </c>
      <c r="G10" s="833">
        <v>78</v>
      </c>
      <c r="H10" s="833">
        <v>78</v>
      </c>
      <c r="I10" s="833">
        <v>78</v>
      </c>
      <c r="J10" s="833">
        <v>78</v>
      </c>
      <c r="K10" s="833">
        <v>78</v>
      </c>
      <c r="L10" s="833">
        <v>78</v>
      </c>
      <c r="M10" s="833">
        <v>78</v>
      </c>
      <c r="N10" s="833">
        <v>78</v>
      </c>
      <c r="O10" s="833">
        <v>78</v>
      </c>
      <c r="P10" s="833">
        <v>78</v>
      </c>
      <c r="Q10" s="277">
        <v>78</v>
      </c>
      <c r="R10" s="929"/>
    </row>
    <row r="11" spans="1:18" ht="25.9" customHeight="1">
      <c r="A11" s="165" t="s">
        <v>484</v>
      </c>
      <c r="B11" s="453">
        <v>70</v>
      </c>
      <c r="C11" s="453">
        <v>70</v>
      </c>
      <c r="D11" s="453">
        <v>70</v>
      </c>
      <c r="E11" s="453">
        <v>70</v>
      </c>
      <c r="F11" s="453">
        <v>70</v>
      </c>
      <c r="G11" s="453">
        <v>70</v>
      </c>
      <c r="H11" s="453">
        <v>70</v>
      </c>
      <c r="I11" s="453">
        <v>70</v>
      </c>
      <c r="J11" s="453">
        <v>70</v>
      </c>
      <c r="K11" s="453">
        <v>70</v>
      </c>
      <c r="L11" s="453">
        <v>70</v>
      </c>
      <c r="M11" s="453">
        <v>70</v>
      </c>
      <c r="N11" s="453">
        <v>70</v>
      </c>
      <c r="O11" s="453">
        <v>70</v>
      </c>
      <c r="P11" s="453">
        <v>70</v>
      </c>
      <c r="Q11" s="461">
        <v>70</v>
      </c>
      <c r="R11" s="287"/>
    </row>
    <row r="12" spans="1:18" ht="25.9" customHeight="1">
      <c r="A12" s="88" t="s">
        <v>485</v>
      </c>
      <c r="B12" s="462">
        <v>70</v>
      </c>
      <c r="C12" s="462">
        <v>70</v>
      </c>
      <c r="D12" s="462">
        <v>70</v>
      </c>
      <c r="E12" s="462">
        <v>70</v>
      </c>
      <c r="F12" s="462">
        <v>70</v>
      </c>
      <c r="G12" s="462">
        <v>70</v>
      </c>
      <c r="H12" s="462">
        <v>70</v>
      </c>
      <c r="I12" s="462">
        <v>70</v>
      </c>
      <c r="J12" s="462">
        <v>70</v>
      </c>
      <c r="K12" s="462">
        <v>70</v>
      </c>
      <c r="L12" s="462">
        <v>70</v>
      </c>
      <c r="M12" s="462">
        <v>70</v>
      </c>
      <c r="N12" s="462">
        <v>70</v>
      </c>
      <c r="O12" s="462">
        <v>70</v>
      </c>
      <c r="P12" s="462">
        <v>70</v>
      </c>
      <c r="Q12" s="463">
        <v>70</v>
      </c>
      <c r="R12" s="288"/>
    </row>
    <row r="13" spans="1:18" ht="25.9" customHeight="1">
      <c r="A13" s="88" t="s">
        <v>486</v>
      </c>
      <c r="B13" s="391">
        <v>72</v>
      </c>
      <c r="C13" s="391">
        <v>72</v>
      </c>
      <c r="D13" s="391">
        <v>72</v>
      </c>
      <c r="E13" s="391">
        <v>72</v>
      </c>
      <c r="F13" s="391">
        <v>72</v>
      </c>
      <c r="G13" s="391">
        <v>72</v>
      </c>
      <c r="H13" s="391">
        <v>72</v>
      </c>
      <c r="I13" s="391">
        <v>72</v>
      </c>
      <c r="J13" s="391">
        <v>72</v>
      </c>
      <c r="K13" s="391">
        <v>72</v>
      </c>
      <c r="L13" s="391">
        <v>72</v>
      </c>
      <c r="M13" s="391">
        <v>72</v>
      </c>
      <c r="N13" s="391">
        <v>72</v>
      </c>
      <c r="O13" s="391">
        <v>72</v>
      </c>
      <c r="P13" s="391">
        <v>72</v>
      </c>
      <c r="Q13" s="464">
        <v>72</v>
      </c>
      <c r="R13" s="327" t="s">
        <v>487</v>
      </c>
    </row>
    <row r="14" spans="1:18" ht="25.9" customHeight="1" thickBot="1">
      <c r="A14" s="563" t="s">
        <v>488</v>
      </c>
      <c r="B14" s="76">
        <v>72</v>
      </c>
      <c r="C14" s="76">
        <v>72</v>
      </c>
      <c r="D14" s="76">
        <v>72</v>
      </c>
      <c r="E14" s="76">
        <v>72</v>
      </c>
      <c r="F14" s="76">
        <v>72</v>
      </c>
      <c r="G14" s="76">
        <v>72</v>
      </c>
      <c r="H14" s="76">
        <v>72</v>
      </c>
      <c r="I14" s="76">
        <v>72</v>
      </c>
      <c r="J14" s="76">
        <v>72</v>
      </c>
      <c r="K14" s="76">
        <v>72</v>
      </c>
      <c r="L14" s="76">
        <v>72</v>
      </c>
      <c r="M14" s="76">
        <v>72</v>
      </c>
      <c r="N14" s="76">
        <v>72</v>
      </c>
      <c r="O14" s="76">
        <v>72</v>
      </c>
      <c r="P14" s="76">
        <v>72</v>
      </c>
      <c r="Q14" s="580">
        <v>72</v>
      </c>
      <c r="R14" s="581" t="s">
        <v>489</v>
      </c>
    </row>
    <row r="15" spans="1:18" ht="25.9" customHeight="1">
      <c r="A15" s="165" t="s">
        <v>490</v>
      </c>
      <c r="B15" s="582">
        <v>66</v>
      </c>
      <c r="C15" s="582">
        <v>66</v>
      </c>
      <c r="D15" s="582">
        <v>66</v>
      </c>
      <c r="E15" s="582">
        <v>66</v>
      </c>
      <c r="F15" s="582">
        <v>66</v>
      </c>
      <c r="G15" s="582">
        <v>66</v>
      </c>
      <c r="H15" s="582">
        <v>66</v>
      </c>
      <c r="I15" s="582">
        <v>66</v>
      </c>
      <c r="J15" s="582">
        <v>66</v>
      </c>
      <c r="K15" s="582">
        <v>66</v>
      </c>
      <c r="L15" s="582">
        <v>66</v>
      </c>
      <c r="M15" s="582">
        <v>66</v>
      </c>
      <c r="N15" s="582">
        <v>66</v>
      </c>
      <c r="O15" s="582">
        <v>66</v>
      </c>
      <c r="P15" s="582">
        <v>66</v>
      </c>
      <c r="Q15" s="745">
        <v>66</v>
      </c>
      <c r="R15" s="964" t="s">
        <v>491</v>
      </c>
    </row>
    <row r="16" spans="1:18" ht="25.9" customHeight="1">
      <c r="A16" s="88" t="s">
        <v>492</v>
      </c>
      <c r="B16" s="391">
        <v>60</v>
      </c>
      <c r="C16" s="391">
        <v>60</v>
      </c>
      <c r="D16" s="391">
        <v>60</v>
      </c>
      <c r="E16" s="391">
        <v>60</v>
      </c>
      <c r="F16" s="391">
        <v>60</v>
      </c>
      <c r="G16" s="391">
        <v>60</v>
      </c>
      <c r="H16" s="391">
        <v>60</v>
      </c>
      <c r="I16" s="391">
        <v>60</v>
      </c>
      <c r="J16" s="391">
        <v>60</v>
      </c>
      <c r="K16" s="391">
        <v>60</v>
      </c>
      <c r="L16" s="391">
        <v>60</v>
      </c>
      <c r="M16" s="391">
        <v>60</v>
      </c>
      <c r="N16" s="391">
        <v>60</v>
      </c>
      <c r="O16" s="391">
        <v>60</v>
      </c>
      <c r="P16" s="391">
        <v>60</v>
      </c>
      <c r="Q16" s="464">
        <v>60</v>
      </c>
      <c r="R16" s="965"/>
    </row>
    <row r="17" spans="1:18" ht="25.9" customHeight="1">
      <c r="A17" s="88" t="s">
        <v>493</v>
      </c>
      <c r="B17" s="391">
        <v>79</v>
      </c>
      <c r="C17" s="391">
        <v>79</v>
      </c>
      <c r="D17" s="391">
        <v>79</v>
      </c>
      <c r="E17" s="391">
        <v>79</v>
      </c>
      <c r="F17" s="391">
        <v>79</v>
      </c>
      <c r="G17" s="391">
        <v>79</v>
      </c>
      <c r="H17" s="391">
        <v>79</v>
      </c>
      <c r="I17" s="391">
        <v>79</v>
      </c>
      <c r="J17" s="391">
        <v>79</v>
      </c>
      <c r="K17" s="391">
        <v>79</v>
      </c>
      <c r="L17" s="391">
        <v>79</v>
      </c>
      <c r="M17" s="391">
        <v>79</v>
      </c>
      <c r="N17" s="391">
        <v>79</v>
      </c>
      <c r="O17" s="391">
        <v>79</v>
      </c>
      <c r="P17" s="391">
        <v>79</v>
      </c>
      <c r="Q17" s="464">
        <v>79</v>
      </c>
      <c r="R17" s="965"/>
    </row>
    <row r="18" spans="1:18" ht="25.9" customHeight="1" thickBot="1">
      <c r="A18" s="744" t="s">
        <v>494</v>
      </c>
      <c r="B18" s="583">
        <v>86</v>
      </c>
      <c r="C18" s="583">
        <v>86</v>
      </c>
      <c r="D18" s="583">
        <v>86</v>
      </c>
      <c r="E18" s="583">
        <v>86</v>
      </c>
      <c r="F18" s="583">
        <v>86</v>
      </c>
      <c r="G18" s="583">
        <v>86</v>
      </c>
      <c r="H18" s="583">
        <v>86</v>
      </c>
      <c r="I18" s="583">
        <v>86</v>
      </c>
      <c r="J18" s="583">
        <v>86</v>
      </c>
      <c r="K18" s="583">
        <v>86</v>
      </c>
      <c r="L18" s="583">
        <v>86</v>
      </c>
      <c r="M18" s="583">
        <v>86</v>
      </c>
      <c r="N18" s="583">
        <v>86</v>
      </c>
      <c r="O18" s="583">
        <v>86</v>
      </c>
      <c r="P18" s="583">
        <v>86</v>
      </c>
      <c r="Q18" s="746">
        <v>86</v>
      </c>
      <c r="R18" s="966"/>
    </row>
    <row r="19" spans="1:18">
      <c r="A19" s="956"/>
      <c r="B19" s="956"/>
      <c r="C19" s="956"/>
      <c r="D19" s="956"/>
      <c r="E19" s="956"/>
      <c r="F19" s="956"/>
      <c r="G19" s="956"/>
      <c r="H19" s="956"/>
      <c r="I19" s="956"/>
      <c r="J19" s="956"/>
      <c r="K19" s="956"/>
      <c r="L19" s="956"/>
      <c r="M19" s="956"/>
      <c r="N19" s="956"/>
      <c r="O19" s="956"/>
      <c r="P19" s="956"/>
      <c r="Q19" s="956"/>
    </row>
    <row r="20" spans="1:18" s="1" customFormat="1" ht="31.15" customHeight="1">
      <c r="A20" s="933" t="s">
        <v>495</v>
      </c>
      <c r="B20" s="933"/>
      <c r="C20" s="933"/>
      <c r="D20" s="933"/>
      <c r="E20" s="933"/>
      <c r="F20" s="933"/>
      <c r="G20" s="933"/>
      <c r="H20" s="933"/>
      <c r="I20" s="933"/>
      <c r="J20" s="933"/>
      <c r="K20" s="933"/>
      <c r="L20" s="933"/>
      <c r="M20" s="933"/>
      <c r="N20" s="933"/>
      <c r="O20" s="933"/>
      <c r="P20" s="933"/>
      <c r="Q20" s="933"/>
      <c r="R20"/>
    </row>
    <row r="21" spans="1:18">
      <c r="A21" s="974" t="s">
        <v>496</v>
      </c>
      <c r="B21" s="974"/>
      <c r="C21" s="974"/>
      <c r="D21" s="974"/>
      <c r="E21" s="974"/>
      <c r="F21" s="974"/>
      <c r="G21" s="974"/>
      <c r="H21" s="974"/>
      <c r="I21" s="974"/>
      <c r="J21" s="974"/>
      <c r="K21" s="974"/>
      <c r="L21" s="974"/>
      <c r="M21" s="974"/>
      <c r="N21" s="974"/>
      <c r="O21" s="974"/>
      <c r="P21" s="974"/>
      <c r="Q21" s="974"/>
      <c r="R21" s="286"/>
    </row>
    <row r="22" spans="1:18">
      <c r="A22" s="973" t="s">
        <v>497</v>
      </c>
      <c r="B22" s="973"/>
      <c r="C22" s="973"/>
      <c r="D22" s="973"/>
      <c r="E22" s="973"/>
      <c r="F22" s="973"/>
      <c r="G22" s="973"/>
      <c r="H22" s="973"/>
      <c r="I22" s="973"/>
      <c r="J22" s="973"/>
      <c r="K22" s="973"/>
      <c r="L22" s="973"/>
      <c r="M22" s="973"/>
      <c r="N22" s="973"/>
      <c r="O22" s="973"/>
      <c r="P22" s="973"/>
      <c r="Q22" s="973"/>
    </row>
    <row r="23" spans="1:18">
      <c r="A23" s="933" t="s">
        <v>498</v>
      </c>
      <c r="B23" s="933"/>
      <c r="C23" s="933"/>
      <c r="D23" s="933"/>
      <c r="E23" s="933"/>
      <c r="F23" s="933"/>
      <c r="G23" s="933"/>
      <c r="H23" s="933"/>
      <c r="I23" s="933"/>
      <c r="J23" s="933"/>
      <c r="K23" s="933"/>
      <c r="L23" s="933"/>
      <c r="M23" s="933"/>
      <c r="N23" s="933"/>
      <c r="O23" s="933"/>
      <c r="P23" s="933"/>
      <c r="Q23" s="933"/>
    </row>
    <row r="24" spans="1:18">
      <c r="A24" s="934"/>
      <c r="B24" s="934"/>
      <c r="C24" s="934"/>
      <c r="D24" s="934"/>
      <c r="E24" s="934"/>
      <c r="F24" s="934"/>
      <c r="G24" s="934"/>
      <c r="H24" s="934"/>
      <c r="I24" s="934"/>
      <c r="J24" s="934"/>
      <c r="K24" s="934"/>
      <c r="L24" s="934"/>
      <c r="M24" s="934"/>
      <c r="N24" s="934"/>
      <c r="O24" s="934"/>
      <c r="P24" s="934"/>
      <c r="Q24" s="934"/>
    </row>
    <row r="25" spans="1:18">
      <c r="A25" s="934" t="s">
        <v>499</v>
      </c>
      <c r="B25" s="934"/>
      <c r="C25" s="934"/>
      <c r="D25" s="934"/>
      <c r="E25" s="934"/>
      <c r="F25" s="934"/>
      <c r="G25" s="934"/>
      <c r="H25" s="934"/>
      <c r="I25" s="934"/>
      <c r="J25" s="934"/>
      <c r="K25" s="934"/>
      <c r="L25" s="934"/>
      <c r="M25" s="934"/>
      <c r="N25" s="934"/>
      <c r="O25" s="934"/>
      <c r="P25" s="934"/>
      <c r="Q25" s="934"/>
    </row>
    <row r="26" spans="1:18">
      <c r="A26" s="975" t="s">
        <v>500</v>
      </c>
      <c r="B26" s="975"/>
      <c r="C26" s="975"/>
      <c r="D26" s="975"/>
      <c r="E26" s="975"/>
      <c r="F26" s="975"/>
      <c r="G26" s="975"/>
      <c r="H26" s="975"/>
      <c r="I26" s="975"/>
      <c r="J26" s="975"/>
      <c r="K26" s="975"/>
      <c r="L26" s="975"/>
      <c r="M26" s="975"/>
      <c r="N26" s="975"/>
      <c r="O26" s="975"/>
      <c r="P26" s="975"/>
      <c r="Q26" s="975"/>
    </row>
    <row r="27" spans="1:18">
      <c r="A27" s="846" t="s">
        <v>501</v>
      </c>
      <c r="B27" s="846"/>
      <c r="C27" s="846"/>
      <c r="D27" s="846"/>
      <c r="E27" s="846"/>
      <c r="F27" s="846"/>
      <c r="G27" s="846"/>
      <c r="H27" s="846"/>
      <c r="I27" s="846"/>
      <c r="J27" s="846"/>
      <c r="K27" s="846"/>
      <c r="L27" s="846"/>
      <c r="M27" s="846"/>
      <c r="N27" s="846"/>
      <c r="O27" s="846"/>
      <c r="P27" s="846"/>
      <c r="Q27" s="846"/>
    </row>
    <row r="28" spans="1:18">
      <c r="A28" s="976"/>
      <c r="B28" s="976"/>
      <c r="C28" s="976"/>
      <c r="D28" s="976"/>
      <c r="E28" s="976"/>
      <c r="F28" s="976"/>
      <c r="G28" s="976"/>
      <c r="H28" s="976"/>
      <c r="I28" s="976"/>
      <c r="J28" s="976"/>
      <c r="K28" s="976"/>
      <c r="L28" s="976"/>
      <c r="M28" s="976"/>
      <c r="N28" s="976"/>
      <c r="O28" s="976"/>
      <c r="P28" s="976"/>
      <c r="Q28" s="976"/>
    </row>
    <row r="29" spans="1:18">
      <c r="A29" s="976"/>
      <c r="B29" s="976"/>
      <c r="C29" s="976"/>
      <c r="D29" s="976"/>
      <c r="E29" s="976"/>
      <c r="F29" s="976"/>
      <c r="G29" s="976"/>
      <c r="H29" s="976"/>
      <c r="I29" s="976"/>
      <c r="J29" s="976"/>
      <c r="K29" s="976"/>
      <c r="L29" s="976"/>
      <c r="M29" s="976"/>
      <c r="N29" s="976"/>
      <c r="O29" s="976"/>
      <c r="P29" s="976"/>
      <c r="Q29" s="976"/>
    </row>
    <row r="30" spans="1:18">
      <c r="A30" s="976"/>
      <c r="B30" s="976"/>
      <c r="C30" s="976"/>
      <c r="D30" s="976"/>
      <c r="E30" s="976"/>
      <c r="F30" s="976"/>
      <c r="G30" s="976"/>
      <c r="H30" s="976"/>
      <c r="I30" s="976"/>
      <c r="J30" s="976"/>
      <c r="K30" s="976"/>
      <c r="L30" s="976"/>
      <c r="M30" s="976"/>
      <c r="N30" s="976"/>
      <c r="O30" s="976"/>
      <c r="P30" s="976"/>
      <c r="Q30" s="976"/>
    </row>
    <row r="31" spans="1:18">
      <c r="A31" s="976"/>
      <c r="B31" s="976"/>
      <c r="C31" s="976"/>
      <c r="D31" s="976"/>
      <c r="E31" s="976"/>
      <c r="F31" s="976"/>
      <c r="G31" s="976"/>
      <c r="H31" s="976"/>
      <c r="I31" s="976"/>
      <c r="J31" s="976"/>
      <c r="K31" s="976"/>
      <c r="L31" s="976"/>
      <c r="M31" s="976"/>
      <c r="N31" s="976"/>
      <c r="O31" s="976"/>
      <c r="P31" s="976"/>
      <c r="Q31" s="976"/>
    </row>
    <row r="32" spans="1:18">
      <c r="A32" s="976"/>
      <c r="B32" s="976"/>
      <c r="C32" s="976"/>
      <c r="D32" s="976"/>
      <c r="E32" s="976"/>
      <c r="F32" s="976"/>
      <c r="G32" s="976"/>
      <c r="H32" s="976"/>
      <c r="I32" s="976"/>
      <c r="J32" s="976"/>
      <c r="K32" s="976"/>
      <c r="L32" s="976"/>
      <c r="M32" s="976"/>
      <c r="N32" s="976"/>
      <c r="O32" s="976"/>
      <c r="P32" s="976"/>
      <c r="Q32" s="976"/>
    </row>
    <row r="33" spans="1:17">
      <c r="A33" s="976"/>
      <c r="B33" s="976"/>
      <c r="C33" s="976"/>
      <c r="D33" s="976"/>
      <c r="E33" s="976"/>
      <c r="F33" s="976"/>
      <c r="G33" s="976"/>
      <c r="H33" s="976"/>
      <c r="I33" s="976"/>
      <c r="J33" s="976"/>
      <c r="K33" s="976"/>
      <c r="L33" s="976"/>
      <c r="M33" s="976"/>
      <c r="N33" s="976"/>
      <c r="O33" s="976"/>
      <c r="P33" s="976"/>
      <c r="Q33" s="976"/>
    </row>
    <row r="34" spans="1:17">
      <c r="A34" s="976"/>
      <c r="B34" s="976"/>
      <c r="C34" s="976"/>
      <c r="D34" s="976"/>
      <c r="E34" s="976"/>
      <c r="F34" s="976"/>
      <c r="G34" s="976"/>
      <c r="H34" s="976"/>
      <c r="I34" s="976"/>
      <c r="J34" s="976"/>
      <c r="K34" s="976"/>
      <c r="L34" s="976"/>
      <c r="M34" s="976"/>
      <c r="N34" s="976"/>
      <c r="O34" s="976"/>
      <c r="P34" s="976"/>
      <c r="Q34" s="976"/>
    </row>
    <row r="35" spans="1:17">
      <c r="A35" s="976"/>
      <c r="B35" s="976"/>
      <c r="C35" s="976"/>
      <c r="D35" s="976"/>
      <c r="E35" s="976"/>
      <c r="F35" s="976"/>
      <c r="G35" s="976"/>
      <c r="H35" s="976"/>
      <c r="I35" s="976"/>
      <c r="J35" s="976"/>
      <c r="K35" s="976"/>
      <c r="L35" s="976"/>
      <c r="M35" s="976"/>
      <c r="N35" s="976"/>
      <c r="O35" s="976"/>
      <c r="P35" s="976"/>
      <c r="Q35" s="976"/>
    </row>
    <row r="36" spans="1:17">
      <c r="A36" s="976"/>
      <c r="B36" s="976"/>
      <c r="C36" s="976"/>
      <c r="D36" s="976"/>
      <c r="E36" s="976"/>
      <c r="F36" s="976"/>
      <c r="G36" s="976"/>
      <c r="H36" s="976"/>
      <c r="I36" s="976"/>
      <c r="J36" s="976"/>
      <c r="K36" s="976"/>
      <c r="L36" s="976"/>
      <c r="M36" s="976"/>
      <c r="N36" s="976"/>
      <c r="O36" s="976"/>
      <c r="P36" s="976"/>
      <c r="Q36" s="976"/>
    </row>
    <row r="37" spans="1:17">
      <c r="A37" s="976"/>
      <c r="B37" s="976"/>
      <c r="C37" s="976"/>
      <c r="D37" s="976"/>
      <c r="E37" s="976"/>
      <c r="F37" s="976"/>
      <c r="G37" s="976"/>
      <c r="H37" s="976"/>
      <c r="I37" s="976"/>
      <c r="J37" s="976"/>
      <c r="K37" s="976"/>
      <c r="L37" s="976"/>
      <c r="M37" s="976"/>
      <c r="N37" s="976"/>
      <c r="O37" s="976"/>
      <c r="P37" s="976"/>
      <c r="Q37" s="976"/>
    </row>
    <row r="38" spans="1:17">
      <c r="A38" s="976"/>
      <c r="B38" s="976"/>
      <c r="C38" s="976"/>
      <c r="D38" s="976"/>
      <c r="E38" s="976"/>
      <c r="F38" s="976"/>
      <c r="G38" s="976"/>
      <c r="H38" s="976"/>
      <c r="I38" s="976"/>
      <c r="J38" s="976"/>
      <c r="K38" s="976"/>
      <c r="L38" s="976"/>
      <c r="M38" s="976"/>
      <c r="N38" s="976"/>
      <c r="O38" s="976"/>
      <c r="P38" s="976"/>
      <c r="Q38" s="976"/>
    </row>
    <row r="39" spans="1:17" s="51" customFormat="1" ht="16.899999999999999" hidden="1" customHeight="1">
      <c r="A39" s="955" t="s">
        <v>95</v>
      </c>
      <c r="B39" s="955"/>
      <c r="C39" s="955"/>
      <c r="D39" s="955"/>
      <c r="E39" s="955"/>
    </row>
    <row r="40" spans="1:17" hidden="1">
      <c r="B40" s="956"/>
      <c r="C40" s="956"/>
      <c r="D40" s="956"/>
      <c r="E40" s="799"/>
      <c r="F40" s="799"/>
      <c r="G40" s="799"/>
      <c r="H40" s="956"/>
      <c r="I40" s="956"/>
      <c r="J40" s="956"/>
    </row>
    <row r="41" spans="1:17" hidden="1">
      <c r="C41" s="232" t="s">
        <v>502</v>
      </c>
      <c r="D41" s="233"/>
      <c r="E41" s="233"/>
      <c r="F41" s="233"/>
      <c r="G41" s="233"/>
      <c r="H41" s="234"/>
      <c r="I41" s="967" t="s">
        <v>503</v>
      </c>
      <c r="J41" s="968"/>
      <c r="K41" s="968"/>
      <c r="L41" s="968"/>
      <c r="M41" s="968"/>
      <c r="N41" s="968"/>
      <c r="O41" s="969"/>
    </row>
    <row r="42" spans="1:17" ht="43.9" hidden="1" customHeight="1">
      <c r="A42" t="s">
        <v>504</v>
      </c>
      <c r="C42" s="941" t="s">
        <v>505</v>
      </c>
      <c r="D42" s="942"/>
      <c r="E42" s="970" t="s">
        <v>506</v>
      </c>
      <c r="F42" s="971"/>
      <c r="G42" s="971"/>
      <c r="H42" s="972"/>
      <c r="I42" s="945" t="s">
        <v>507</v>
      </c>
      <c r="J42" s="946"/>
      <c r="K42" s="947"/>
      <c r="L42" s="945" t="s">
        <v>508</v>
      </c>
      <c r="M42" s="947"/>
      <c r="N42" s="945" t="s">
        <v>509</v>
      </c>
      <c r="O42" s="947"/>
    </row>
    <row r="43" spans="1:17" ht="14.45" hidden="1" customHeight="1">
      <c r="C43" s="943" t="s">
        <v>510</v>
      </c>
      <c r="D43" s="944"/>
      <c r="E43" s="963" t="s">
        <v>511</v>
      </c>
      <c r="F43" s="963"/>
      <c r="G43" s="977" t="s">
        <v>512</v>
      </c>
      <c r="H43" s="977"/>
      <c r="I43" s="944" t="s">
        <v>513</v>
      </c>
      <c r="J43" s="944"/>
      <c r="K43" s="949"/>
      <c r="L43" s="943" t="s">
        <v>514</v>
      </c>
      <c r="M43" s="949"/>
      <c r="N43" s="943" t="s">
        <v>515</v>
      </c>
      <c r="O43" s="949"/>
    </row>
    <row r="44" spans="1:17" ht="49.15" hidden="1" customHeight="1">
      <c r="A44" s="950" t="s">
        <v>516</v>
      </c>
      <c r="B44" s="800" t="s">
        <v>517</v>
      </c>
      <c r="C44" s="935" t="s">
        <v>518</v>
      </c>
      <c r="D44" s="936"/>
      <c r="E44" s="939" t="s">
        <v>519</v>
      </c>
      <c r="F44" s="940"/>
      <c r="G44" s="951" t="s">
        <v>520</v>
      </c>
      <c r="H44" s="952"/>
      <c r="I44" s="950" t="s">
        <v>521</v>
      </c>
      <c r="J44" s="950"/>
      <c r="K44" s="950"/>
      <c r="L44" s="948" t="s">
        <v>522</v>
      </c>
      <c r="M44" s="948"/>
      <c r="N44" s="948" t="s">
        <v>523</v>
      </c>
      <c r="O44" s="948"/>
    </row>
    <row r="45" spans="1:17" ht="49.15" hidden="1" customHeight="1">
      <c r="A45" s="950"/>
      <c r="B45" s="800" t="s">
        <v>524</v>
      </c>
      <c r="C45" s="937"/>
      <c r="D45" s="938"/>
      <c r="E45" s="959" t="s">
        <v>525</v>
      </c>
      <c r="F45" s="960"/>
      <c r="G45" s="951"/>
      <c r="H45" s="952"/>
      <c r="I45" s="950"/>
      <c r="J45" s="950"/>
      <c r="K45" s="950"/>
      <c r="L45" s="948"/>
      <c r="M45" s="948"/>
      <c r="N45" s="948"/>
      <c r="O45" s="948"/>
    </row>
    <row r="46" spans="1:17" ht="40.9" hidden="1" customHeight="1">
      <c r="A46" s="950"/>
      <c r="B46" s="800" t="s">
        <v>526</v>
      </c>
      <c r="C46" s="939"/>
      <c r="D46" s="940"/>
      <c r="E46" s="961">
        <v>60</v>
      </c>
      <c r="F46" s="962"/>
      <c r="G46" s="953"/>
      <c r="H46" s="954"/>
      <c r="I46" s="950"/>
      <c r="J46" s="950"/>
      <c r="K46" s="950"/>
      <c r="L46" s="948"/>
      <c r="M46" s="948"/>
      <c r="N46" s="948"/>
      <c r="O46" s="948"/>
    </row>
    <row r="47" spans="1:17" ht="48" hidden="1" customHeight="1">
      <c r="A47" s="950" t="s">
        <v>527</v>
      </c>
      <c r="B47" s="800" t="s">
        <v>517</v>
      </c>
      <c r="C47" s="957">
        <v>78</v>
      </c>
      <c r="D47" s="958"/>
      <c r="E47" s="961" t="s">
        <v>528</v>
      </c>
      <c r="F47" s="962"/>
      <c r="G47" s="957" t="s">
        <v>529</v>
      </c>
      <c r="H47" s="958"/>
      <c r="I47" s="950" t="s">
        <v>530</v>
      </c>
      <c r="J47" s="950"/>
      <c r="K47" s="950"/>
      <c r="L47" s="948" t="s">
        <v>531</v>
      </c>
      <c r="M47" s="948"/>
      <c r="N47" s="948" t="s">
        <v>532</v>
      </c>
      <c r="O47" s="948"/>
    </row>
    <row r="48" spans="1:17" ht="46.15" hidden="1" customHeight="1">
      <c r="A48" s="950"/>
      <c r="B48" s="800" t="s">
        <v>524</v>
      </c>
      <c r="C48" s="951"/>
      <c r="D48" s="952"/>
      <c r="E48" s="959" t="s">
        <v>533</v>
      </c>
      <c r="F48" s="960"/>
      <c r="G48" s="951"/>
      <c r="H48" s="952"/>
      <c r="I48" s="950"/>
      <c r="J48" s="950"/>
      <c r="K48" s="950"/>
      <c r="L48" s="948"/>
      <c r="M48" s="948"/>
      <c r="N48" s="948"/>
      <c r="O48" s="948"/>
    </row>
    <row r="49" spans="1:15" ht="44.45" hidden="1" customHeight="1">
      <c r="A49" s="950"/>
      <c r="B49" s="800" t="s">
        <v>526</v>
      </c>
      <c r="C49" s="953"/>
      <c r="D49" s="954"/>
      <c r="E49" s="961">
        <v>85</v>
      </c>
      <c r="F49" s="962"/>
      <c r="G49" s="953"/>
      <c r="H49" s="954"/>
      <c r="I49" s="950"/>
      <c r="J49" s="950"/>
      <c r="K49" s="950"/>
      <c r="L49" s="948"/>
      <c r="M49" s="948"/>
      <c r="N49" s="948"/>
      <c r="O49" s="948"/>
    </row>
    <row r="50" spans="1:15" hidden="1">
      <c r="A50" s="1"/>
    </row>
    <row r="51" spans="1:15" hidden="1"/>
    <row r="52" spans="1:15" hidden="1"/>
    <row r="53" spans="1:15" ht="26.45" hidden="1" customHeight="1">
      <c r="A53" s="111" t="s">
        <v>534</v>
      </c>
      <c r="B53" s="110"/>
      <c r="C53" s="110"/>
      <c r="D53" s="110"/>
      <c r="E53" s="110"/>
      <c r="F53" s="231" t="s">
        <v>487</v>
      </c>
      <c r="G53" s="110"/>
      <c r="H53" s="110"/>
      <c r="I53" s="110"/>
    </row>
    <row r="54" spans="1:15" hidden="1"/>
    <row r="55" spans="1:15" ht="13.15" hidden="1" customHeight="1"/>
    <row r="56" spans="1:15" ht="29.45" hidden="1" customHeight="1"/>
    <row r="57" spans="1:15" ht="29.45" hidden="1" customHeight="1"/>
    <row r="58" spans="1:15" hidden="1"/>
    <row r="59" spans="1:15" hidden="1"/>
    <row r="60" spans="1:15" hidden="1">
      <c r="E60" s="221"/>
    </row>
    <row r="61" spans="1:15" ht="15.6" hidden="1">
      <c r="A61" s="111" t="s">
        <v>535</v>
      </c>
    </row>
    <row r="62" spans="1:15" hidden="1"/>
    <row r="63" spans="1:15" hidden="1">
      <c r="D63" s="221"/>
    </row>
    <row r="64" spans="1:15" hidden="1">
      <c r="A64" s="1" t="s">
        <v>536</v>
      </c>
      <c r="O64" s="115"/>
    </row>
    <row r="65" hidden="1"/>
    <row r="66" hidden="1"/>
    <row r="67" hidden="1"/>
    <row r="68" hidden="1"/>
    <row r="69" hidden="1"/>
    <row r="70" hidden="1"/>
    <row r="71" hidden="1"/>
    <row r="72" hidden="1"/>
    <row r="73" hidden="1"/>
    <row r="74" hidden="1"/>
    <row r="75" hidden="1"/>
    <row r="76" hidden="1"/>
    <row r="77" hidden="1"/>
    <row r="78" hidden="1"/>
    <row r="79" hidden="1"/>
    <row r="80" hidden="1"/>
    <row r="81" spans="1:7" hidden="1"/>
    <row r="82" spans="1:7" hidden="1"/>
    <row r="83" spans="1:7" hidden="1"/>
    <row r="84" spans="1:7" hidden="1"/>
    <row r="85" spans="1:7" hidden="1"/>
    <row r="86" spans="1:7" hidden="1"/>
    <row r="87" spans="1:7">
      <c r="C87" s="5"/>
      <c r="D87" s="5"/>
      <c r="E87" s="5"/>
      <c r="F87" s="5"/>
      <c r="G87" s="5"/>
    </row>
    <row r="88" spans="1:7">
      <c r="A88" s="236"/>
      <c r="B88" s="7"/>
      <c r="C88" s="235"/>
      <c r="D88" s="235"/>
      <c r="E88" s="236"/>
      <c r="F88" s="236"/>
      <c r="G88" s="255"/>
    </row>
    <row r="89" spans="1:7">
      <c r="A89" s="236"/>
      <c r="B89" s="7"/>
      <c r="C89" s="235"/>
      <c r="D89" s="235"/>
      <c r="E89" s="236"/>
      <c r="F89" s="236"/>
      <c r="G89" s="255"/>
    </row>
    <row r="90" spans="1:7">
      <c r="A90" s="236"/>
      <c r="B90" s="7"/>
      <c r="C90" s="236"/>
      <c r="D90" s="236"/>
      <c r="E90" s="236"/>
      <c r="F90" s="236"/>
      <c r="G90" s="255"/>
    </row>
    <row r="91" spans="1:7">
      <c r="A91" s="236"/>
      <c r="B91" s="7"/>
      <c r="C91" s="236"/>
      <c r="D91" s="236"/>
      <c r="E91" s="236"/>
      <c r="F91" s="236"/>
      <c r="G91" s="255"/>
    </row>
    <row r="92" spans="1:7">
      <c r="A92" s="236"/>
      <c r="B92" s="7"/>
      <c r="C92" s="236"/>
      <c r="D92" s="236"/>
      <c r="E92" s="236"/>
      <c r="F92" s="236"/>
      <c r="G92" s="255"/>
    </row>
    <row r="93" spans="1:7">
      <c r="A93" s="236"/>
      <c r="B93" s="7"/>
      <c r="C93" s="236"/>
      <c r="D93" s="236"/>
      <c r="E93" s="236"/>
      <c r="F93" s="236"/>
      <c r="G93" s="255"/>
    </row>
    <row r="96" spans="1:7" ht="14.45" customHeight="1">
      <c r="D96" s="235"/>
    </row>
    <row r="97" spans="4:4" ht="14.45" customHeight="1">
      <c r="D97" s="235"/>
    </row>
    <row r="98" spans="4:4" ht="14.45" customHeight="1">
      <c r="D98" s="236"/>
    </row>
    <row r="99" spans="4:4" ht="14.45" customHeight="1">
      <c r="D99" s="236"/>
    </row>
    <row r="100" spans="4:4" ht="14.45" customHeight="1">
      <c r="D100" s="236"/>
    </row>
    <row r="101" spans="4:4" ht="14.45" customHeight="1">
      <c r="D101" s="236"/>
    </row>
  </sheetData>
  <mergeCells count="57">
    <mergeCell ref="A28:Q28"/>
    <mergeCell ref="A29:Q29"/>
    <mergeCell ref="A30:Q30"/>
    <mergeCell ref="G43:H43"/>
    <mergeCell ref="A31:Q31"/>
    <mergeCell ref="A36:Q36"/>
    <mergeCell ref="A37:Q37"/>
    <mergeCell ref="A38:Q38"/>
    <mergeCell ref="A34:Q34"/>
    <mergeCell ref="A35:Q35"/>
    <mergeCell ref="A32:Q32"/>
    <mergeCell ref="A33:Q33"/>
    <mergeCell ref="G47:H49"/>
    <mergeCell ref="E46:F46"/>
    <mergeCell ref="R15:R18"/>
    <mergeCell ref="A24:Q24"/>
    <mergeCell ref="I41:O41"/>
    <mergeCell ref="N43:O43"/>
    <mergeCell ref="N42:O42"/>
    <mergeCell ref="L42:M42"/>
    <mergeCell ref="E42:H42"/>
    <mergeCell ref="A19:Q19"/>
    <mergeCell ref="A20:Q20"/>
    <mergeCell ref="A22:Q22"/>
    <mergeCell ref="A21:Q21"/>
    <mergeCell ref="A26:Q26"/>
    <mergeCell ref="N44:O46"/>
    <mergeCell ref="A27:Q27"/>
    <mergeCell ref="N47:O49"/>
    <mergeCell ref="I43:K43"/>
    <mergeCell ref="A39:E39"/>
    <mergeCell ref="B40:D40"/>
    <mergeCell ref="H40:J40"/>
    <mergeCell ref="A47:A49"/>
    <mergeCell ref="C47:D49"/>
    <mergeCell ref="E48:F48"/>
    <mergeCell ref="E49:F49"/>
    <mergeCell ref="L47:M49"/>
    <mergeCell ref="I47:K49"/>
    <mergeCell ref="E44:F44"/>
    <mergeCell ref="E47:F47"/>
    <mergeCell ref="E45:F45"/>
    <mergeCell ref="E43:F43"/>
    <mergeCell ref="A44:A46"/>
    <mergeCell ref="C44:D46"/>
    <mergeCell ref="C42:D42"/>
    <mergeCell ref="C43:D43"/>
    <mergeCell ref="I42:K42"/>
    <mergeCell ref="L44:M46"/>
    <mergeCell ref="L43:M43"/>
    <mergeCell ref="I44:K46"/>
    <mergeCell ref="G44:H46"/>
    <mergeCell ref="R7:R10"/>
    <mergeCell ref="R3:R6"/>
    <mergeCell ref="A1:R1"/>
    <mergeCell ref="A23:Q23"/>
    <mergeCell ref="A25:Q25"/>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730C9-5C61-418E-9D38-D82374F9BCB6}">
  <sheetPr codeName="Sheet15"/>
  <dimension ref="A1:AE80"/>
  <sheetViews>
    <sheetView zoomScale="70" zoomScaleNormal="70" workbookViewId="0">
      <selection sqref="A1:K1"/>
    </sheetView>
  </sheetViews>
  <sheetFormatPr defaultColWidth="9.28515625" defaultRowHeight="13.9"/>
  <cols>
    <col min="1" max="1" width="28.85546875" style="55" customWidth="1"/>
    <col min="2" max="2" width="15.140625" style="55" customWidth="1"/>
    <col min="3" max="3" width="18.7109375" style="55" customWidth="1"/>
    <col min="4" max="4" width="26.85546875" style="55" customWidth="1"/>
    <col min="5" max="5" width="29" style="55" customWidth="1"/>
    <col min="6" max="6" width="35.5703125" style="55" customWidth="1"/>
    <col min="7" max="7" width="18.28515625" style="55" customWidth="1"/>
    <col min="8" max="8" width="15.85546875" style="55" customWidth="1"/>
    <col min="9" max="9" width="19.28515625" style="55" customWidth="1"/>
    <col min="10" max="10" width="20.28515625" style="55" customWidth="1"/>
    <col min="11" max="11" width="35" style="55" customWidth="1"/>
    <col min="12" max="12" width="10.7109375" style="55" customWidth="1"/>
    <col min="13" max="13" width="29" style="55" customWidth="1"/>
    <col min="14" max="14" width="13.7109375" style="55" customWidth="1"/>
    <col min="15" max="15" width="12.28515625" style="55" customWidth="1"/>
    <col min="16" max="16" width="13.7109375" style="55" customWidth="1"/>
    <col min="17" max="17" width="11.7109375" style="55" customWidth="1"/>
    <col min="18" max="18" width="13.7109375" style="55" customWidth="1"/>
    <col min="19" max="19" width="12.28515625" style="55" customWidth="1"/>
    <col min="20" max="20" width="13.7109375" style="55" customWidth="1"/>
    <col min="21" max="21" width="12.28515625" style="55" customWidth="1"/>
    <col min="22" max="22" width="13.7109375" style="55" customWidth="1"/>
    <col min="23" max="23" width="11.7109375" style="55" customWidth="1"/>
    <col min="24" max="25" width="10.7109375" style="55" customWidth="1"/>
    <col min="26" max="26" width="9.28515625" style="55"/>
    <col min="27" max="31" width="11.28515625" style="55" customWidth="1"/>
    <col min="32" max="16384" width="9.28515625" style="55"/>
  </cols>
  <sheetData>
    <row r="1" spans="1:13" ht="24.6" customHeight="1">
      <c r="A1" s="901" t="str">
        <f>"Outdoor Airflow Rate - "&amp;Prototype!A2</f>
        <v>Outdoor Airflow Rate - HotelLarge</v>
      </c>
      <c r="B1" s="901"/>
      <c r="C1" s="901"/>
      <c r="D1" s="901"/>
      <c r="E1" s="901"/>
      <c r="F1" s="901"/>
      <c r="G1" s="901"/>
      <c r="H1" s="901"/>
      <c r="I1" s="901"/>
      <c r="J1" s="901"/>
      <c r="K1" s="901"/>
      <c r="L1" s="8"/>
      <c r="M1" s="8"/>
    </row>
    <row r="2" spans="1:13" ht="43.9" customHeight="1">
      <c r="A2" s="802" t="s">
        <v>537</v>
      </c>
      <c r="B2" s="318" t="s">
        <v>175</v>
      </c>
      <c r="C2" s="317" t="s">
        <v>538</v>
      </c>
      <c r="D2" s="804" t="s">
        <v>539</v>
      </c>
      <c r="E2" s="804" t="s">
        <v>540</v>
      </c>
      <c r="F2" s="804" t="s">
        <v>541</v>
      </c>
      <c r="G2" s="804" t="s">
        <v>542</v>
      </c>
      <c r="H2" s="804" t="s">
        <v>543</v>
      </c>
      <c r="I2" s="804" t="s">
        <v>544</v>
      </c>
      <c r="J2" s="802" t="s">
        <v>545</v>
      </c>
      <c r="K2" s="802" t="s">
        <v>177</v>
      </c>
      <c r="L2" s="468"/>
      <c r="M2" s="468"/>
    </row>
    <row r="3" spans="1:13" ht="24" customHeight="1">
      <c r="A3" s="320" t="str">
        <f>Zones!A3</f>
        <v>BasementConference</v>
      </c>
      <c r="B3" s="307">
        <f>Zones!J3</f>
        <v>246.01292525963984</v>
      </c>
      <c r="C3" s="307">
        <f>Zones!G3</f>
        <v>7454.9371290799945</v>
      </c>
      <c r="D3" s="793">
        <v>15</v>
      </c>
      <c r="E3" s="793">
        <v>0.15</v>
      </c>
      <c r="F3" s="656" t="s">
        <v>546</v>
      </c>
      <c r="G3" s="321">
        <f>B3*D3</f>
        <v>3690.1938788945977</v>
      </c>
      <c r="H3" s="321">
        <f>C3*E3</f>
        <v>1118.2405693619992</v>
      </c>
      <c r="I3" s="321">
        <v>140</v>
      </c>
      <c r="J3" s="452">
        <f>MAX(G3,H3,I3)</f>
        <v>3690.1938788945977</v>
      </c>
      <c r="K3" s="657"/>
      <c r="L3" s="71"/>
      <c r="M3" s="191"/>
    </row>
    <row r="4" spans="1:13" ht="24" customHeight="1">
      <c r="A4" s="320" t="str">
        <f>Zones!A4</f>
        <v xml:space="preserve">BasementOffice </v>
      </c>
      <c r="B4" s="307">
        <f>Zones!J4</f>
        <v>21.299820368799988</v>
      </c>
      <c r="C4" s="307">
        <f>Zones!G4</f>
        <v>4259.9640737599975</v>
      </c>
      <c r="D4" s="793">
        <v>15</v>
      </c>
      <c r="E4" s="793">
        <v>0.15</v>
      </c>
      <c r="F4" s="656"/>
      <c r="G4" s="321">
        <f t="shared" ref="G4:G6" si="0">B4*D4</f>
        <v>319.49730553199981</v>
      </c>
      <c r="H4" s="321">
        <f t="shared" ref="H4:H6" si="1">C4*E4</f>
        <v>638.99461106399963</v>
      </c>
      <c r="I4" s="321"/>
      <c r="J4" s="452">
        <f t="shared" ref="J4:J6" si="2">MAX(G4,H4,I4)</f>
        <v>638.99461106399963</v>
      </c>
      <c r="K4" s="657"/>
      <c r="L4" s="71"/>
      <c r="M4" s="191"/>
    </row>
    <row r="5" spans="1:13" ht="24" customHeight="1">
      <c r="A5" s="320" t="str">
        <f>Zones!A5</f>
        <v>BasementService</v>
      </c>
      <c r="B5" s="307">
        <f>Zones!J5</f>
        <v>19.169838331919987</v>
      </c>
      <c r="C5" s="307">
        <f>Zones!G5</f>
        <v>6389.9461106399949</v>
      </c>
      <c r="D5" s="793">
        <v>15</v>
      </c>
      <c r="E5" s="793">
        <v>0.15</v>
      </c>
      <c r="F5" s="322" t="s">
        <v>547</v>
      </c>
      <c r="G5" s="321">
        <f t="shared" si="0"/>
        <v>287.54757497879979</v>
      </c>
      <c r="H5" s="321">
        <f t="shared" si="1"/>
        <v>958.49191659599921</v>
      </c>
      <c r="I5" s="321">
        <f>0.7*C5</f>
        <v>4472.9622774479958</v>
      </c>
      <c r="J5" s="452">
        <f t="shared" si="2"/>
        <v>4472.9622774479958</v>
      </c>
      <c r="K5" s="657" t="s">
        <v>548</v>
      </c>
      <c r="L5" s="71"/>
      <c r="M5" s="191"/>
    </row>
    <row r="6" spans="1:13" ht="18" customHeight="1">
      <c r="A6" s="320" t="str">
        <f>Zones!A6</f>
        <v>BasementStorage</v>
      </c>
      <c r="B6" s="307">
        <f>Zones!J6</f>
        <v>0</v>
      </c>
      <c r="C6" s="307">
        <f>Zones!G6</f>
        <v>3194.9730553199975</v>
      </c>
      <c r="D6" s="793">
        <v>15</v>
      </c>
      <c r="E6" s="793">
        <v>0.15</v>
      </c>
      <c r="F6" s="656"/>
      <c r="G6" s="321">
        <f t="shared" si="0"/>
        <v>0</v>
      </c>
      <c r="H6" s="321">
        <f t="shared" si="1"/>
        <v>479.24595829799961</v>
      </c>
      <c r="I6" s="321"/>
      <c r="J6" s="452">
        <f t="shared" si="2"/>
        <v>479.24595829799961</v>
      </c>
      <c r="K6" s="657"/>
      <c r="L6" s="71"/>
      <c r="M6" s="191"/>
    </row>
    <row r="7" spans="1:13" ht="17.45" customHeight="1">
      <c r="A7" s="320" t="str">
        <f>Zones!A7</f>
        <v>Retail_1_FloorG</v>
      </c>
      <c r="B7" s="307">
        <f>Zones!J7</f>
        <v>12.272828987988889</v>
      </c>
      <c r="C7" s="307">
        <f>Zones!G7</f>
        <v>721.93111694052288</v>
      </c>
      <c r="D7" s="793">
        <v>15</v>
      </c>
      <c r="E7" s="793">
        <v>0.2</v>
      </c>
      <c r="F7" s="321"/>
      <c r="G7" s="321">
        <f t="shared" ref="G7:G27" si="3">B7*D7</f>
        <v>184.09243481983333</v>
      </c>
      <c r="H7" s="321">
        <f t="shared" ref="H7:H27" si="4">C7*E7</f>
        <v>144.38622338810458</v>
      </c>
      <c r="I7" s="321"/>
      <c r="J7" s="452">
        <f t="shared" ref="J7:J27" si="5">MAX(G7,H7,I7)</f>
        <v>184.09243481983333</v>
      </c>
      <c r="K7" s="439"/>
      <c r="L7" s="71"/>
      <c r="M7" s="191"/>
    </row>
    <row r="8" spans="1:13" ht="17.45" customHeight="1">
      <c r="A8" s="320" t="str">
        <f>Zones!A8</f>
        <v>Retail_2_FloorG</v>
      </c>
      <c r="B8" s="307">
        <f>Zones!J8</f>
        <v>14.21247394508867</v>
      </c>
      <c r="C8" s="307">
        <f>Zones!G8</f>
        <v>836.02787912286294</v>
      </c>
      <c r="D8" s="793">
        <v>15</v>
      </c>
      <c r="E8" s="793">
        <v>0.2</v>
      </c>
      <c r="F8" s="321"/>
      <c r="G8" s="321">
        <f t="shared" si="3"/>
        <v>213.18710917633004</v>
      </c>
      <c r="H8" s="321">
        <f t="shared" si="4"/>
        <v>167.20557582457261</v>
      </c>
      <c r="I8" s="321"/>
      <c r="J8" s="452">
        <f t="shared" si="5"/>
        <v>213.18710917633004</v>
      </c>
      <c r="K8" s="439"/>
      <c r="L8" s="71"/>
      <c r="M8" s="191"/>
    </row>
    <row r="9" spans="1:13" ht="17.45" customHeight="1">
      <c r="A9" s="320" t="str">
        <f>Zones!A9</f>
        <v>Mech_FloorG</v>
      </c>
      <c r="B9" s="307">
        <f>Zones!J9</f>
        <v>0</v>
      </c>
      <c r="C9" s="307">
        <f>Zones!G9</f>
        <v>1767.853983096936</v>
      </c>
      <c r="D9" s="793">
        <v>15</v>
      </c>
      <c r="E9" s="793">
        <v>0.15</v>
      </c>
      <c r="F9" s="321"/>
      <c r="G9" s="321">
        <f t="shared" si="3"/>
        <v>0</v>
      </c>
      <c r="H9" s="321">
        <f t="shared" si="4"/>
        <v>265.17809746454037</v>
      </c>
      <c r="I9" s="321"/>
      <c r="J9" s="452">
        <f t="shared" si="5"/>
        <v>265.17809746454037</v>
      </c>
      <c r="K9" s="439"/>
      <c r="L9" s="71"/>
      <c r="M9" s="191"/>
    </row>
    <row r="10" spans="1:13" ht="17.45" customHeight="1">
      <c r="A10" s="320" t="str">
        <f>Zones!A10</f>
        <v>Storage_FloorG</v>
      </c>
      <c r="B10" s="307">
        <f>Zones!J10</f>
        <v>0</v>
      </c>
      <c r="C10" s="307">
        <f>Zones!G10</f>
        <v>1019.981998528164</v>
      </c>
      <c r="D10" s="793">
        <v>15</v>
      </c>
      <c r="E10" s="793">
        <v>0.15</v>
      </c>
      <c r="F10" s="321"/>
      <c r="G10" s="321">
        <f t="shared" si="3"/>
        <v>0</v>
      </c>
      <c r="H10" s="321">
        <f t="shared" si="4"/>
        <v>152.99729977922459</v>
      </c>
      <c r="I10" s="321"/>
      <c r="J10" s="452">
        <f t="shared" si="5"/>
        <v>152.99729977922459</v>
      </c>
      <c r="K10" s="439"/>
      <c r="L10" s="71"/>
      <c r="M10" s="191"/>
    </row>
    <row r="11" spans="1:13" ht="42" customHeight="1">
      <c r="A11" s="320" t="str">
        <f>Zones!A11</f>
        <v>Laundry_FloorG</v>
      </c>
      <c r="B11" s="307">
        <f>Zones!J11</f>
        <v>4.2000525097687804</v>
      </c>
      <c r="C11" s="307">
        <f>Zones!G11</f>
        <v>840.01050195375603</v>
      </c>
      <c r="D11" s="793">
        <v>15</v>
      </c>
      <c r="E11" s="793">
        <v>0.15</v>
      </c>
      <c r="F11" s="322" t="s">
        <v>549</v>
      </c>
      <c r="G11" s="321">
        <f t="shared" si="3"/>
        <v>63.000787646531705</v>
      </c>
      <c r="H11" s="321">
        <f t="shared" si="4"/>
        <v>126.0015752930634</v>
      </c>
      <c r="I11" s="321">
        <f>1*0.2*C11</f>
        <v>168.00210039075122</v>
      </c>
      <c r="J11" s="452">
        <f>MAX(G11,H11,I11)</f>
        <v>168.00210039075122</v>
      </c>
      <c r="K11" s="796" t="s">
        <v>550</v>
      </c>
      <c r="L11" s="71"/>
      <c r="M11" s="191"/>
    </row>
    <row r="12" spans="1:13" ht="17.45" customHeight="1">
      <c r="A12" s="320" t="str">
        <f>Zones!A12</f>
        <v>Cafe_FloorG</v>
      </c>
      <c r="B12" s="307">
        <f>Zones!J12</f>
        <v>67.084375348110584</v>
      </c>
      <c r="C12" s="307">
        <f>Zones!G12</f>
        <v>2032.8598590336539</v>
      </c>
      <c r="D12" s="793">
        <v>15</v>
      </c>
      <c r="E12" s="793">
        <v>0.15</v>
      </c>
      <c r="F12" s="323"/>
      <c r="G12" s="321">
        <f t="shared" si="3"/>
        <v>1006.2656302216587</v>
      </c>
      <c r="H12" s="321">
        <f t="shared" si="4"/>
        <v>304.92897885504806</v>
      </c>
      <c r="I12" s="323"/>
      <c r="J12" s="452">
        <f t="shared" si="5"/>
        <v>1006.2656302216587</v>
      </c>
      <c r="K12" s="440"/>
      <c r="L12" s="71"/>
      <c r="M12" s="191"/>
    </row>
    <row r="13" spans="1:13" ht="17.45" customHeight="1">
      <c r="A13" s="320" t="str">
        <f>Zones!A13</f>
        <v>Lobby_FloorG</v>
      </c>
      <c r="B13" s="307">
        <f>Zones!J13</f>
        <v>140.81155030124091</v>
      </c>
      <c r="C13" s="307">
        <f>Zones!G13</f>
        <v>14081.155030124091</v>
      </c>
      <c r="D13" s="793">
        <v>15</v>
      </c>
      <c r="E13" s="793">
        <v>0.15</v>
      </c>
      <c r="F13" s="323"/>
      <c r="G13" s="321">
        <f t="shared" si="3"/>
        <v>2112.1732545186137</v>
      </c>
      <c r="H13" s="321">
        <f t="shared" si="4"/>
        <v>2112.1732545186137</v>
      </c>
      <c r="I13" s="323"/>
      <c r="J13" s="452">
        <f t="shared" si="5"/>
        <v>2112.1732545186137</v>
      </c>
      <c r="K13" s="439"/>
      <c r="L13" s="325"/>
      <c r="M13" s="71"/>
    </row>
    <row r="14" spans="1:13" ht="17.45" customHeight="1">
      <c r="A14" s="320" t="str">
        <f>Zones!A14</f>
        <v>GuestRoom_1_FloorM</v>
      </c>
      <c r="B14" s="307">
        <v>4</v>
      </c>
      <c r="C14" s="307">
        <f>Zones!G14</f>
        <v>420.00525097687802</v>
      </c>
      <c r="D14" s="793">
        <v>15</v>
      </c>
      <c r="E14" s="793">
        <v>0.15</v>
      </c>
      <c r="F14" s="324" t="s">
        <v>551</v>
      </c>
      <c r="G14" s="321">
        <f t="shared" si="3"/>
        <v>60</v>
      </c>
      <c r="H14" s="321">
        <f t="shared" si="4"/>
        <v>63.000787646531698</v>
      </c>
      <c r="I14" s="321">
        <v>50</v>
      </c>
      <c r="J14" s="452">
        <f>MAX(G14,H14,I14)</f>
        <v>63.000787646531698</v>
      </c>
      <c r="K14" s="439"/>
      <c r="L14" s="326"/>
      <c r="M14" s="8"/>
    </row>
    <row r="15" spans="1:13" ht="17.45" customHeight="1">
      <c r="A15" s="320" t="str">
        <f>Zones!A15</f>
        <v>GuestRoom_2_FloorM</v>
      </c>
      <c r="B15" s="307">
        <v>4</v>
      </c>
      <c r="C15" s="307">
        <f>Zones!G15</f>
        <v>420.00525097687802</v>
      </c>
      <c r="D15" s="793">
        <v>15</v>
      </c>
      <c r="E15" s="793">
        <v>0.15</v>
      </c>
      <c r="F15" s="324" t="s">
        <v>551</v>
      </c>
      <c r="G15" s="321">
        <f t="shared" si="3"/>
        <v>60</v>
      </c>
      <c r="H15" s="321">
        <f t="shared" si="4"/>
        <v>63.000787646531698</v>
      </c>
      <c r="I15" s="321">
        <v>50</v>
      </c>
      <c r="J15" s="452">
        <f t="shared" si="5"/>
        <v>63.000787646531698</v>
      </c>
      <c r="K15" s="439"/>
      <c r="L15" s="326"/>
      <c r="M15" s="314"/>
    </row>
    <row r="16" spans="1:13" ht="17.45" customHeight="1">
      <c r="A16" s="320" t="str">
        <f>Zones!A16</f>
        <v>GuestRoom_3_Multi19_FloorM</v>
      </c>
      <c r="B16" s="307">
        <v>4</v>
      </c>
      <c r="C16" s="307">
        <f>Zones!G16</f>
        <v>263.92949138782797</v>
      </c>
      <c r="D16" s="793">
        <v>15</v>
      </c>
      <c r="E16" s="793">
        <v>0.15</v>
      </c>
      <c r="F16" s="324" t="s">
        <v>551</v>
      </c>
      <c r="G16" s="321">
        <f t="shared" si="3"/>
        <v>60</v>
      </c>
      <c r="H16" s="321">
        <f t="shared" si="4"/>
        <v>39.589423708174195</v>
      </c>
      <c r="I16" s="321">
        <v>50</v>
      </c>
      <c r="J16" s="452">
        <f t="shared" si="5"/>
        <v>60</v>
      </c>
      <c r="K16" s="439"/>
      <c r="L16" s="326"/>
      <c r="M16" s="314"/>
    </row>
    <row r="17" spans="1:31" ht="17.45" customHeight="1">
      <c r="A17" s="320" t="str">
        <f>Zones!A17</f>
        <v>GuestRoom_4_Multi19_FloorM</v>
      </c>
      <c r="B17" s="307">
        <v>4</v>
      </c>
      <c r="C17" s="307">
        <f>Zones!G17</f>
        <v>264.03712984271698</v>
      </c>
      <c r="D17" s="793">
        <v>15</v>
      </c>
      <c r="E17" s="793">
        <v>0.15</v>
      </c>
      <c r="F17" s="324" t="s">
        <v>551</v>
      </c>
      <c r="G17" s="321">
        <f t="shared" si="3"/>
        <v>60</v>
      </c>
      <c r="H17" s="321">
        <f t="shared" si="4"/>
        <v>39.605569476407545</v>
      </c>
      <c r="I17" s="321">
        <v>50</v>
      </c>
      <c r="J17" s="452">
        <f t="shared" si="5"/>
        <v>60</v>
      </c>
      <c r="K17" s="439"/>
      <c r="L17" s="326"/>
      <c r="M17" s="314"/>
      <c r="N17" s="8"/>
      <c r="O17" s="8"/>
      <c r="P17" s="8"/>
      <c r="Q17" s="8"/>
      <c r="R17" s="8"/>
      <c r="S17" s="8"/>
      <c r="T17" s="8"/>
      <c r="U17" s="8"/>
      <c r="V17" s="8"/>
      <c r="W17" s="8"/>
      <c r="X17" s="8"/>
      <c r="Y17" s="8"/>
      <c r="Z17" s="8"/>
      <c r="AA17" s="8"/>
      <c r="AB17" s="8"/>
      <c r="AC17" s="8"/>
      <c r="AD17" s="8"/>
      <c r="AE17" s="8"/>
    </row>
    <row r="18" spans="1:31" ht="17.45" customHeight="1">
      <c r="A18" s="320" t="str">
        <f>Zones!A18</f>
        <v>GuestRoom_5_FloorM</v>
      </c>
      <c r="B18" s="307">
        <v>4</v>
      </c>
      <c r="C18" s="307">
        <f>Zones!G18</f>
        <v>420.00525097687802</v>
      </c>
      <c r="D18" s="793">
        <v>15</v>
      </c>
      <c r="E18" s="793">
        <v>0.15</v>
      </c>
      <c r="F18" s="324" t="s">
        <v>551</v>
      </c>
      <c r="G18" s="321">
        <f t="shared" si="3"/>
        <v>60</v>
      </c>
      <c r="H18" s="321">
        <f t="shared" si="4"/>
        <v>63.000787646531698</v>
      </c>
      <c r="I18" s="321">
        <v>50</v>
      </c>
      <c r="J18" s="452">
        <f t="shared" si="5"/>
        <v>63.000787646531698</v>
      </c>
      <c r="K18" s="439"/>
      <c r="L18" s="326"/>
      <c r="M18" s="314"/>
      <c r="N18" s="8"/>
      <c r="O18" s="8"/>
      <c r="P18" s="8"/>
      <c r="Q18" s="8"/>
      <c r="R18" s="8"/>
      <c r="S18" s="8"/>
      <c r="T18" s="8"/>
      <c r="U18" s="8"/>
      <c r="V18" s="8"/>
      <c r="W18" s="8"/>
      <c r="X18" s="8"/>
      <c r="Y18" s="8"/>
      <c r="Z18" s="8"/>
      <c r="AA18" s="8"/>
      <c r="AB18" s="8"/>
      <c r="AC18" s="8"/>
      <c r="AD18" s="8"/>
      <c r="AE18" s="8"/>
    </row>
    <row r="19" spans="1:31" ht="17.45" customHeight="1">
      <c r="A19" s="320" t="str">
        <f>Zones!A19</f>
        <v>GuestRoom_6_FloorM</v>
      </c>
      <c r="B19" s="307">
        <v>4</v>
      </c>
      <c r="C19" s="307">
        <f>Zones!G19</f>
        <v>420.00525097687802</v>
      </c>
      <c r="D19" s="793">
        <v>15</v>
      </c>
      <c r="E19" s="793">
        <v>0.15</v>
      </c>
      <c r="F19" s="324" t="s">
        <v>551</v>
      </c>
      <c r="G19" s="321">
        <f t="shared" si="3"/>
        <v>60</v>
      </c>
      <c r="H19" s="321">
        <f t="shared" si="4"/>
        <v>63.000787646531698</v>
      </c>
      <c r="I19" s="321">
        <v>50</v>
      </c>
      <c r="J19" s="452">
        <f t="shared" si="5"/>
        <v>63.000787646531698</v>
      </c>
      <c r="K19" s="439"/>
      <c r="L19" s="326"/>
      <c r="M19" s="314"/>
      <c r="N19" s="8"/>
      <c r="O19" s="8"/>
      <c r="P19" s="8"/>
      <c r="Q19" s="8"/>
      <c r="R19" s="8"/>
      <c r="S19" s="8"/>
      <c r="T19" s="8"/>
      <c r="U19" s="8"/>
      <c r="V19" s="8"/>
      <c r="W19" s="8"/>
      <c r="X19" s="8"/>
      <c r="Y19" s="8"/>
      <c r="Z19" s="8"/>
      <c r="AA19" s="8"/>
      <c r="AB19" s="8"/>
      <c r="AC19" s="8"/>
      <c r="AD19" s="8"/>
      <c r="AE19" s="8"/>
    </row>
    <row r="20" spans="1:31" ht="17.45" customHeight="1">
      <c r="A20" s="320" t="str">
        <f>Zones!A20</f>
        <v>Corridor_FloorM</v>
      </c>
      <c r="B20" s="307">
        <f>Zones!J20</f>
        <v>20.957207166888296</v>
      </c>
      <c r="C20" s="307">
        <f>Zones!G20</f>
        <v>4191.4414333776595</v>
      </c>
      <c r="D20" s="793">
        <v>15</v>
      </c>
      <c r="E20" s="793">
        <v>0.15</v>
      </c>
      <c r="F20" s="324"/>
      <c r="G20" s="321">
        <f t="shared" si="3"/>
        <v>314.35810750332445</v>
      </c>
      <c r="H20" s="321">
        <f t="shared" si="4"/>
        <v>628.71621500664889</v>
      </c>
      <c r="I20" s="321"/>
      <c r="J20" s="452">
        <f t="shared" si="5"/>
        <v>628.71621500664889</v>
      </c>
      <c r="K20" s="439"/>
      <c r="L20" s="326"/>
      <c r="M20" s="314"/>
      <c r="N20" s="8"/>
      <c r="O20" s="8"/>
      <c r="P20" s="8"/>
      <c r="Q20" s="8"/>
      <c r="R20" s="8"/>
      <c r="S20" s="8"/>
      <c r="T20" s="8"/>
      <c r="U20" s="8"/>
      <c r="V20" s="8"/>
      <c r="W20" s="8"/>
      <c r="X20" s="8"/>
      <c r="Y20" s="8"/>
      <c r="Z20" s="8"/>
      <c r="AA20" s="8"/>
      <c r="AB20" s="8"/>
      <c r="AC20" s="8"/>
      <c r="AD20" s="8"/>
      <c r="AE20" s="8"/>
    </row>
    <row r="21" spans="1:31" ht="17.45" customHeight="1">
      <c r="A21" s="320" t="str">
        <f>Zones!A21</f>
        <v>GuestRoom_1_FloorT</v>
      </c>
      <c r="B21" s="307">
        <v>4</v>
      </c>
      <c r="C21" s="307">
        <f>Zones!G21</f>
        <v>420.00525097687802</v>
      </c>
      <c r="D21" s="793">
        <v>15</v>
      </c>
      <c r="E21" s="793">
        <v>0.15</v>
      </c>
      <c r="F21" s="324" t="s">
        <v>551</v>
      </c>
      <c r="G21" s="321">
        <f t="shared" si="3"/>
        <v>60</v>
      </c>
      <c r="H21" s="321">
        <f t="shared" si="4"/>
        <v>63.000787646531698</v>
      </c>
      <c r="I21" s="321">
        <v>50</v>
      </c>
      <c r="J21" s="452">
        <f t="shared" si="5"/>
        <v>63.000787646531698</v>
      </c>
      <c r="K21" s="439"/>
      <c r="L21" s="326"/>
      <c r="M21" s="314"/>
      <c r="N21" s="8"/>
      <c r="O21" s="8"/>
      <c r="P21" s="8"/>
      <c r="Q21" s="8"/>
      <c r="R21" s="8"/>
      <c r="S21" s="8"/>
      <c r="T21" s="8"/>
      <c r="U21" s="8"/>
      <c r="V21" s="8"/>
      <c r="W21" s="8"/>
      <c r="X21" s="8"/>
      <c r="Y21" s="8"/>
      <c r="Z21" s="8"/>
      <c r="AA21" s="8"/>
      <c r="AB21" s="8"/>
      <c r="AC21" s="8"/>
      <c r="AD21" s="8"/>
      <c r="AE21" s="8"/>
    </row>
    <row r="22" spans="1:31" ht="17.45" customHeight="1">
      <c r="A22" s="320" t="str">
        <f>Zones!A22</f>
        <v>GuestRoom_2_FloorT</v>
      </c>
      <c r="B22" s="307">
        <v>4</v>
      </c>
      <c r="C22" s="307">
        <f>Zones!G22</f>
        <v>420.00525097687802</v>
      </c>
      <c r="D22" s="793">
        <v>15</v>
      </c>
      <c r="E22" s="793">
        <v>0.15</v>
      </c>
      <c r="F22" s="324" t="s">
        <v>551</v>
      </c>
      <c r="G22" s="321">
        <f t="shared" si="3"/>
        <v>60</v>
      </c>
      <c r="H22" s="321">
        <f t="shared" si="4"/>
        <v>63.000787646531698</v>
      </c>
      <c r="I22" s="321">
        <v>50</v>
      </c>
      <c r="J22" s="452">
        <f t="shared" si="5"/>
        <v>63.000787646531698</v>
      </c>
      <c r="K22" s="439"/>
      <c r="L22" s="326"/>
      <c r="M22" s="314"/>
      <c r="N22" s="8"/>
      <c r="O22" s="8"/>
      <c r="P22" s="8"/>
      <c r="Q22" s="8"/>
      <c r="R22" s="8"/>
      <c r="S22" s="8"/>
      <c r="T22" s="8"/>
      <c r="U22" s="8"/>
      <c r="V22" s="8"/>
      <c r="W22" s="8"/>
      <c r="X22" s="8"/>
      <c r="Y22" s="8"/>
      <c r="Z22" s="8"/>
      <c r="AA22" s="8"/>
      <c r="AB22" s="8"/>
      <c r="AC22" s="8"/>
      <c r="AD22" s="8"/>
      <c r="AE22" s="8"/>
    </row>
    <row r="23" spans="1:31" ht="17.45" customHeight="1">
      <c r="A23" s="320" t="str">
        <f>Zones!A23</f>
        <v>GuestRoom_3_Multi9_FloorT</v>
      </c>
      <c r="B23" s="307">
        <v>4</v>
      </c>
      <c r="C23" s="307">
        <f>Zones!G23</f>
        <v>264.03712984271698</v>
      </c>
      <c r="D23" s="793">
        <v>15</v>
      </c>
      <c r="E23" s="793">
        <v>0.15</v>
      </c>
      <c r="F23" s="324" t="s">
        <v>551</v>
      </c>
      <c r="G23" s="321">
        <f t="shared" si="3"/>
        <v>60</v>
      </c>
      <c r="H23" s="321">
        <f t="shared" si="4"/>
        <v>39.605569476407545</v>
      </c>
      <c r="I23" s="321">
        <v>50</v>
      </c>
      <c r="J23" s="452">
        <f t="shared" si="5"/>
        <v>60</v>
      </c>
      <c r="K23" s="439"/>
      <c r="L23" s="326"/>
      <c r="M23" s="314"/>
      <c r="N23" s="8"/>
      <c r="O23" s="8"/>
      <c r="P23" s="8"/>
      <c r="Q23" s="8"/>
      <c r="R23" s="8"/>
      <c r="S23" s="8"/>
      <c r="T23" s="8"/>
      <c r="U23" s="8"/>
      <c r="V23" s="8"/>
      <c r="W23" s="8"/>
      <c r="X23" s="8"/>
      <c r="Y23" s="8"/>
      <c r="Z23" s="8"/>
      <c r="AA23" s="8"/>
      <c r="AB23" s="8"/>
      <c r="AC23" s="8"/>
      <c r="AD23" s="8"/>
      <c r="AE23" s="8"/>
    </row>
    <row r="24" spans="1:31" ht="17.45" customHeight="1">
      <c r="A24" s="320" t="str">
        <f>Zones!A24</f>
        <v>Banquet_FloorT</v>
      </c>
      <c r="B24" s="307">
        <f>Zones!J24</f>
        <v>117.80792083000294</v>
      </c>
      <c r="C24" s="307">
        <f>Zones!G24</f>
        <v>3569.9369948485742</v>
      </c>
      <c r="D24" s="793">
        <v>15</v>
      </c>
      <c r="E24" s="793">
        <v>0.15</v>
      </c>
      <c r="F24" s="323"/>
      <c r="G24" s="321">
        <f t="shared" si="3"/>
        <v>1767.1188124500441</v>
      </c>
      <c r="H24" s="321">
        <f t="shared" si="4"/>
        <v>535.49054922728612</v>
      </c>
      <c r="I24" s="323"/>
      <c r="J24" s="452">
        <f t="shared" si="5"/>
        <v>1767.1188124500441</v>
      </c>
      <c r="K24" s="440"/>
      <c r="L24" s="113"/>
      <c r="M24" s="315"/>
      <c r="N24" s="8"/>
      <c r="O24" s="8"/>
      <c r="P24" s="8"/>
      <c r="Q24" s="8"/>
      <c r="R24" s="8"/>
      <c r="S24" s="8"/>
      <c r="T24" s="8"/>
      <c r="U24" s="8"/>
      <c r="V24" s="8"/>
      <c r="W24" s="8"/>
      <c r="X24" s="8"/>
      <c r="Y24" s="8"/>
      <c r="Z24" s="8"/>
      <c r="AA24" s="8"/>
      <c r="AB24" s="8"/>
      <c r="AC24" s="8"/>
      <c r="AD24" s="8"/>
      <c r="AE24" s="8"/>
    </row>
    <row r="25" spans="1:31" ht="17.45" customHeight="1">
      <c r="A25" s="320" t="str">
        <f>Zones!A25</f>
        <v>Dining_FloorT</v>
      </c>
      <c r="B25" s="307">
        <f>Zones!J25</f>
        <v>117.80792083000294</v>
      </c>
      <c r="C25" s="307">
        <f>Zones!G25</f>
        <v>3569.9369948485742</v>
      </c>
      <c r="D25" s="793">
        <v>15</v>
      </c>
      <c r="E25" s="793">
        <v>0.15</v>
      </c>
      <c r="F25" s="323"/>
      <c r="G25" s="321">
        <f t="shared" si="3"/>
        <v>1767.1188124500441</v>
      </c>
      <c r="H25" s="321">
        <f t="shared" si="4"/>
        <v>535.49054922728612</v>
      </c>
      <c r="I25" s="323"/>
      <c r="J25" s="452">
        <f t="shared" si="5"/>
        <v>1767.1188124500441</v>
      </c>
      <c r="K25" s="440"/>
      <c r="L25" s="8"/>
      <c r="M25" s="8"/>
      <c r="N25" s="8"/>
      <c r="O25" s="8"/>
      <c r="P25" s="8"/>
      <c r="Q25" s="8"/>
      <c r="R25" s="8"/>
      <c r="S25" s="8"/>
      <c r="T25" s="8"/>
      <c r="U25" s="8"/>
      <c r="V25" s="8"/>
      <c r="W25" s="8"/>
      <c r="X25" s="8"/>
      <c r="Y25" s="8"/>
      <c r="Z25" s="8"/>
      <c r="AA25" s="8"/>
      <c r="AB25" s="8"/>
      <c r="AC25" s="8"/>
      <c r="AD25" s="8"/>
      <c r="AE25" s="8"/>
    </row>
    <row r="26" spans="1:31" ht="25.15" customHeight="1">
      <c r="A26" s="320" t="str">
        <f>Zones!A26</f>
        <v>Kitchen_FloorT</v>
      </c>
      <c r="B26" s="307">
        <f>Zones!J26</f>
        <v>3.3357157170101095</v>
      </c>
      <c r="C26" s="307">
        <f>Zones!G26</f>
        <v>1111.9052390033698</v>
      </c>
      <c r="D26" s="793">
        <v>15</v>
      </c>
      <c r="E26" s="793">
        <v>0.15</v>
      </c>
      <c r="F26" s="322" t="s">
        <v>552</v>
      </c>
      <c r="G26" s="321">
        <f t="shared" si="3"/>
        <v>50.035735755151642</v>
      </c>
      <c r="H26" s="321">
        <f t="shared" si="4"/>
        <v>166.78578585050548</v>
      </c>
      <c r="I26" s="321">
        <f>0.7*C26</f>
        <v>778.33366730235889</v>
      </c>
      <c r="J26" s="452">
        <f t="shared" si="5"/>
        <v>778.33366730235889</v>
      </c>
      <c r="K26" s="559" t="s">
        <v>553</v>
      </c>
      <c r="L26" s="8"/>
      <c r="M26" s="8"/>
      <c r="N26" s="8"/>
      <c r="O26" s="8"/>
      <c r="P26" s="8"/>
      <c r="Q26" s="8"/>
      <c r="R26" s="8"/>
      <c r="S26" s="8"/>
      <c r="T26" s="8"/>
      <c r="U26" s="8"/>
      <c r="V26" s="8"/>
      <c r="W26" s="8"/>
      <c r="X26" s="8"/>
      <c r="Y26" s="8"/>
      <c r="Z26" s="8"/>
      <c r="AA26" s="8"/>
      <c r="AB26" s="8"/>
      <c r="AC26" s="8"/>
      <c r="AD26" s="8"/>
      <c r="AE26" s="8"/>
    </row>
    <row r="27" spans="1:31" ht="17.45" customHeight="1">
      <c r="A27" s="320" t="str">
        <f>Zones!A27</f>
        <v>Corridor_FloorT</v>
      </c>
      <c r="B27" s="307">
        <f>Zones!J27</f>
        <v>22.17998001442734</v>
      </c>
      <c r="C27" s="307">
        <f>Zones!G27</f>
        <v>4435.9960028854675</v>
      </c>
      <c r="D27" s="793">
        <v>15</v>
      </c>
      <c r="E27" s="793">
        <v>0.15</v>
      </c>
      <c r="F27" s="321"/>
      <c r="G27" s="321">
        <f t="shared" si="3"/>
        <v>332.69970021641012</v>
      </c>
      <c r="H27" s="321">
        <f t="shared" si="4"/>
        <v>665.39940043282013</v>
      </c>
      <c r="I27" s="321"/>
      <c r="J27" s="452">
        <f t="shared" si="5"/>
        <v>665.39940043282013</v>
      </c>
      <c r="K27" s="439"/>
      <c r="L27" s="8"/>
      <c r="M27" s="8"/>
      <c r="N27" s="8"/>
      <c r="O27" s="8"/>
      <c r="P27" s="8"/>
      <c r="Q27" s="8"/>
      <c r="R27" s="8"/>
      <c r="S27" s="8"/>
      <c r="T27" s="8"/>
      <c r="U27" s="8"/>
      <c r="V27" s="8"/>
      <c r="W27" s="8"/>
      <c r="X27" s="8"/>
      <c r="Y27" s="8"/>
      <c r="Z27" s="8"/>
      <c r="AA27" s="8"/>
      <c r="AB27" s="8"/>
      <c r="AC27" s="8"/>
      <c r="AD27" s="8"/>
      <c r="AE27" s="8"/>
    </row>
    <row r="29" spans="1:31">
      <c r="A29" s="8"/>
      <c r="B29" s="86"/>
      <c r="C29" s="8"/>
      <c r="D29" s="8"/>
      <c r="E29" s="8"/>
      <c r="F29" s="8"/>
      <c r="G29" s="8"/>
      <c r="H29" s="8"/>
      <c r="I29" s="979" t="s">
        <v>554</v>
      </c>
      <c r="J29" s="980">
        <f>SUMPRODUCT(J14:J19,Zones!I14:I19)+SUMPRODUCT(J21:J23,Zones!I21:I23)</f>
        <v>15858.020478809825</v>
      </c>
      <c r="K29" s="8"/>
      <c r="L29" s="8"/>
      <c r="M29" s="8"/>
      <c r="N29" s="8"/>
      <c r="O29" s="8"/>
      <c r="P29" s="8"/>
      <c r="Q29" s="8"/>
      <c r="R29" s="8"/>
      <c r="S29" s="8"/>
      <c r="T29" s="8"/>
      <c r="U29" s="8"/>
      <c r="V29" s="8"/>
      <c r="W29" s="8"/>
      <c r="X29" s="8"/>
      <c r="Y29" s="8"/>
      <c r="Z29" s="8"/>
      <c r="AA29" s="8"/>
      <c r="AB29" s="8"/>
      <c r="AC29" s="8"/>
      <c r="AD29" s="8"/>
      <c r="AE29" s="8"/>
    </row>
    <row r="30" spans="1:31">
      <c r="A30" s="8"/>
      <c r="B30" s="8"/>
      <c r="C30" s="8"/>
      <c r="D30" s="8"/>
      <c r="E30" s="8"/>
      <c r="F30" s="8"/>
      <c r="G30" s="8"/>
      <c r="H30" s="8"/>
      <c r="I30" s="979"/>
      <c r="J30" s="980"/>
      <c r="K30" s="8"/>
      <c r="L30" s="8"/>
      <c r="M30" s="8"/>
      <c r="N30" s="8"/>
      <c r="O30" s="8"/>
      <c r="P30" s="8"/>
      <c r="Q30" s="8"/>
      <c r="R30" s="8"/>
      <c r="S30" s="8"/>
      <c r="T30" s="8"/>
      <c r="U30" s="8"/>
      <c r="V30" s="8"/>
      <c r="W30" s="8"/>
      <c r="X30" s="8"/>
      <c r="Y30" s="8"/>
      <c r="Z30" s="8"/>
      <c r="AA30" s="8"/>
      <c r="AB30" s="8"/>
      <c r="AC30" s="8"/>
      <c r="AD30" s="8"/>
      <c r="AE30" s="8"/>
    </row>
    <row r="31" spans="1:31" ht="14.45">
      <c r="A31" s="5"/>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c r="AE31" s="8"/>
    </row>
    <row r="32" spans="1:31" ht="56.45" customHeight="1">
      <c r="A32" s="981" t="s">
        <v>555</v>
      </c>
      <c r="B32" s="981"/>
      <c r="C32" s="804" t="s">
        <v>556</v>
      </c>
      <c r="D32" s="802" t="s">
        <v>557</v>
      </c>
      <c r="E32" s="802" t="s">
        <v>558</v>
      </c>
      <c r="F32" s="802" t="s">
        <v>177</v>
      </c>
      <c r="G32" s="8"/>
      <c r="H32" s="8"/>
      <c r="I32" s="743"/>
      <c r="J32" s="8"/>
      <c r="K32" s="8"/>
      <c r="L32" s="8"/>
      <c r="M32" s="8"/>
      <c r="N32" s="8"/>
      <c r="O32" s="8"/>
      <c r="P32" s="8"/>
      <c r="Q32" s="8"/>
      <c r="R32" s="8"/>
      <c r="S32" s="8"/>
      <c r="T32" s="8"/>
      <c r="U32" s="8"/>
      <c r="V32" s="8"/>
      <c r="W32" s="8"/>
      <c r="X32" s="8"/>
      <c r="Y32" s="8"/>
      <c r="Z32" s="8"/>
      <c r="AA32" s="8"/>
      <c r="AB32" s="8"/>
      <c r="AC32" s="8"/>
      <c r="AD32" s="8"/>
      <c r="AE32" s="8"/>
    </row>
    <row r="33" spans="1:31" ht="34.9" customHeight="1">
      <c r="A33" s="910" t="s">
        <v>559</v>
      </c>
      <c r="B33" s="910"/>
      <c r="C33" s="793">
        <v>210</v>
      </c>
      <c r="D33" s="793">
        <v>12</v>
      </c>
      <c r="E33" s="793">
        <f>C33*D33</f>
        <v>2520</v>
      </c>
      <c r="F33" s="796" t="s">
        <v>560</v>
      </c>
      <c r="G33" s="10"/>
      <c r="H33" s="10"/>
      <c r="I33" s="10"/>
      <c r="J33" s="8"/>
      <c r="K33" s="8"/>
      <c r="L33" s="8"/>
      <c r="M33" s="8"/>
      <c r="N33" s="8"/>
      <c r="O33" s="8"/>
      <c r="P33" s="8"/>
      <c r="Q33" s="8"/>
      <c r="R33" s="8"/>
      <c r="S33" s="8"/>
      <c r="T33" s="8"/>
      <c r="U33" s="8"/>
      <c r="V33" s="8"/>
      <c r="W33" s="8"/>
      <c r="X33" s="8"/>
      <c r="Y33" s="8"/>
      <c r="Z33" s="8"/>
      <c r="AA33" s="8"/>
      <c r="AB33" s="8"/>
      <c r="AC33" s="8"/>
      <c r="AD33" s="8"/>
      <c r="AE33" s="8"/>
    </row>
    <row r="34" spans="1:31">
      <c r="A34" s="10" t="s">
        <v>561</v>
      </c>
      <c r="B34" s="10"/>
      <c r="C34" s="10"/>
      <c r="D34" s="10"/>
      <c r="E34" s="10"/>
      <c r="F34" s="10"/>
      <c r="G34" s="10"/>
      <c r="H34" s="10"/>
      <c r="I34" s="10"/>
      <c r="J34" s="8"/>
      <c r="K34" s="8"/>
      <c r="L34" s="8"/>
      <c r="M34" s="8"/>
      <c r="N34" s="8"/>
      <c r="O34" s="8"/>
      <c r="P34" s="8"/>
      <c r="Q34" s="8"/>
      <c r="R34" s="8"/>
      <c r="S34" s="8"/>
      <c r="T34" s="8"/>
      <c r="U34" s="8"/>
      <c r="V34" s="8"/>
      <c r="W34" s="8"/>
      <c r="X34" s="8"/>
      <c r="Y34" s="8"/>
      <c r="Z34" s="8"/>
      <c r="AA34" s="8"/>
      <c r="AB34" s="8"/>
      <c r="AC34" s="8"/>
      <c r="AD34" s="8"/>
      <c r="AE34" s="8"/>
    </row>
    <row r="35" spans="1:31" ht="15.6">
      <c r="A35" s="8"/>
      <c r="B35" s="10"/>
      <c r="C35" s="10"/>
      <c r="D35" s="10"/>
      <c r="E35" s="10"/>
      <c r="F35" s="10"/>
      <c r="G35" s="10"/>
      <c r="H35" s="10"/>
      <c r="I35" s="10"/>
      <c r="J35" s="8"/>
      <c r="K35" s="56"/>
      <c r="L35" s="8"/>
      <c r="M35" s="8"/>
      <c r="N35" s="8"/>
      <c r="O35" s="8"/>
      <c r="P35" s="8"/>
      <c r="Q35" s="8"/>
      <c r="R35" s="8"/>
      <c r="S35" s="8"/>
      <c r="T35" s="8"/>
      <c r="U35" s="8"/>
      <c r="V35" s="8"/>
      <c r="W35" s="8"/>
      <c r="X35" s="8"/>
      <c r="Y35" s="8"/>
      <c r="Z35" s="8"/>
      <c r="AA35" s="8"/>
      <c r="AB35" s="8"/>
      <c r="AC35" s="8"/>
      <c r="AD35" s="8"/>
      <c r="AE35" s="8"/>
    </row>
    <row r="36" spans="1:31" ht="26.45" customHeight="1">
      <c r="A36" s="978" t="s">
        <v>562</v>
      </c>
      <c r="B36" s="978"/>
      <c r="C36" s="978"/>
      <c r="D36" s="978"/>
      <c r="E36" s="978"/>
      <c r="F36" s="978"/>
      <c r="G36" s="229"/>
      <c r="H36" s="229"/>
      <c r="I36" s="229"/>
      <c r="J36" s="229"/>
      <c r="K36" s="229"/>
      <c r="L36" s="8"/>
      <c r="M36" s="8"/>
      <c r="N36" s="8"/>
      <c r="O36" s="8"/>
      <c r="P36" s="8"/>
      <c r="Q36" s="8"/>
      <c r="R36" s="8"/>
      <c r="S36" s="8"/>
      <c r="T36" s="8"/>
      <c r="U36" s="8"/>
      <c r="V36" s="8"/>
      <c r="W36" s="8"/>
      <c r="X36" s="8"/>
      <c r="Y36" s="8"/>
      <c r="Z36" s="8"/>
      <c r="AA36" s="8"/>
      <c r="AB36" s="8"/>
      <c r="AC36" s="8"/>
      <c r="AD36" s="8"/>
      <c r="AE36" s="8"/>
    </row>
    <row r="37" spans="1:31" ht="15.6">
      <c r="A37" s="778" t="s">
        <v>563</v>
      </c>
      <c r="B37" s="8"/>
      <c r="C37" s="8"/>
      <c r="D37" s="8"/>
      <c r="E37" s="8"/>
      <c r="F37" s="8"/>
      <c r="G37" s="8"/>
      <c r="H37" s="8"/>
      <c r="I37" s="8"/>
      <c r="J37" s="8"/>
      <c r="K37" s="56"/>
      <c r="L37" s="8"/>
      <c r="M37" s="8"/>
      <c r="N37" s="8"/>
      <c r="O37" s="8"/>
      <c r="P37" s="8"/>
      <c r="Q37" s="8"/>
      <c r="R37" s="8"/>
      <c r="S37" s="8"/>
      <c r="T37" s="8"/>
      <c r="U37" s="8"/>
      <c r="V37" s="8"/>
      <c r="W37" s="8"/>
      <c r="X37" s="8"/>
      <c r="Y37" s="8"/>
      <c r="Z37" s="8"/>
      <c r="AA37" s="8"/>
      <c r="AB37" s="8"/>
      <c r="AC37" s="8"/>
      <c r="AD37" s="8"/>
      <c r="AE37" s="8"/>
    </row>
    <row r="38" spans="1:31" ht="15.6">
      <c r="A38" s="8"/>
      <c r="B38" s="8"/>
      <c r="C38" s="8"/>
      <c r="D38" s="8"/>
      <c r="E38" s="8"/>
      <c r="F38" s="8"/>
      <c r="G38" s="8"/>
      <c r="H38" s="8"/>
      <c r="I38" s="8"/>
      <c r="J38" s="8"/>
      <c r="K38" s="56"/>
      <c r="L38" s="8"/>
      <c r="M38" s="8"/>
      <c r="N38" s="8"/>
      <c r="O38" s="8"/>
      <c r="P38" s="8"/>
      <c r="Q38" s="8"/>
      <c r="R38" s="8"/>
      <c r="S38" s="8"/>
      <c r="T38" s="8"/>
      <c r="U38" s="8"/>
      <c r="V38" s="8"/>
      <c r="W38" s="8"/>
      <c r="X38" s="8"/>
      <c r="Y38" s="8"/>
      <c r="Z38" s="8"/>
      <c r="AA38" s="8"/>
      <c r="AB38" s="8"/>
      <c r="AC38" s="8"/>
      <c r="AD38" s="8"/>
      <c r="AE38" s="8"/>
    </row>
    <row r="39" spans="1:31" ht="15.6">
      <c r="A39" s="8"/>
      <c r="B39" s="8"/>
      <c r="C39" s="8"/>
      <c r="D39" s="8"/>
      <c r="E39" s="8"/>
      <c r="F39" s="8"/>
      <c r="G39" s="8"/>
      <c r="H39" s="8"/>
      <c r="I39" s="8"/>
      <c r="J39" s="8"/>
      <c r="K39" s="56"/>
      <c r="L39" s="8"/>
      <c r="M39" s="8"/>
      <c r="N39" s="8"/>
      <c r="O39" s="8"/>
      <c r="P39" s="8"/>
      <c r="Q39" s="8"/>
      <c r="R39" s="8"/>
      <c r="S39" s="8"/>
      <c r="T39" s="8"/>
      <c r="U39" s="8"/>
      <c r="V39" s="8"/>
      <c r="W39" s="8"/>
      <c r="X39" s="8"/>
      <c r="Y39" s="8"/>
      <c r="Z39" s="8"/>
      <c r="AA39" s="8"/>
      <c r="AB39" s="8"/>
      <c r="AC39" s="8"/>
      <c r="AD39" s="8"/>
      <c r="AE39" s="8"/>
    </row>
    <row r="40" spans="1:31" s="57" customFormat="1" ht="17.45" hidden="1">
      <c r="A40" s="24" t="s">
        <v>95</v>
      </c>
      <c r="B40" s="24"/>
      <c r="C40" s="192"/>
      <c r="D40" s="192"/>
      <c r="E40" s="192"/>
      <c r="F40" s="192"/>
      <c r="G40" s="192"/>
      <c r="H40" s="192"/>
      <c r="I40" s="192"/>
      <c r="J40" s="192"/>
      <c r="K40" s="193"/>
      <c r="L40" s="194"/>
      <c r="M40" s="195"/>
      <c r="N40" s="192"/>
      <c r="O40" s="192"/>
      <c r="P40" s="192"/>
      <c r="Q40" s="192"/>
      <c r="R40" s="192"/>
      <c r="S40" s="192"/>
      <c r="T40" s="192"/>
      <c r="U40" s="192"/>
      <c r="V40" s="192"/>
      <c r="W40" s="192"/>
      <c r="X40" s="192"/>
      <c r="Y40" s="192"/>
      <c r="Z40" s="192"/>
      <c r="AA40" s="192"/>
      <c r="AB40" s="192"/>
      <c r="AC40" s="192"/>
      <c r="AD40" s="192"/>
      <c r="AE40" s="192"/>
    </row>
    <row r="41" spans="1:31" hidden="1">
      <c r="A41" s="86"/>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c r="AE41" s="8"/>
    </row>
    <row r="42" spans="1:31" hidden="1">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c r="AD42" s="8"/>
      <c r="AE42" s="8"/>
    </row>
    <row r="43" spans="1:31" hidden="1">
      <c r="A43" s="11" t="s">
        <v>564</v>
      </c>
      <c r="B43" s="10"/>
      <c r="C43" s="10"/>
      <c r="D43" s="10"/>
      <c r="E43" s="8"/>
      <c r="F43" s="8"/>
      <c r="G43" s="8"/>
      <c r="H43" s="8"/>
      <c r="I43" s="8"/>
      <c r="J43" s="8"/>
      <c r="K43" s="8"/>
      <c r="L43" s="8"/>
      <c r="M43" s="8"/>
      <c r="N43" s="8"/>
      <c r="O43" s="8"/>
      <c r="P43" s="8"/>
      <c r="Q43" s="8"/>
      <c r="R43" s="8"/>
      <c r="S43" s="8"/>
      <c r="T43" s="8"/>
      <c r="U43" s="8"/>
      <c r="V43" s="8"/>
      <c r="W43" s="8"/>
      <c r="X43" s="8"/>
      <c r="Y43" s="8"/>
      <c r="Z43" s="8"/>
      <c r="AA43" s="8"/>
      <c r="AB43" s="8"/>
      <c r="AC43" s="8"/>
      <c r="AD43" s="8"/>
      <c r="AE43" s="8"/>
    </row>
    <row r="44" spans="1:31" ht="14.45" hidden="1">
      <c r="A44" s="10"/>
      <c r="B44"/>
      <c r="C44" s="10"/>
      <c r="D44" s="10"/>
      <c r="E44" s="8"/>
      <c r="F44" s="8"/>
      <c r="G44" s="8"/>
      <c r="H44" s="8"/>
      <c r="I44" s="8"/>
      <c r="J44" s="8"/>
      <c r="K44" s="8"/>
      <c r="L44" s="8"/>
      <c r="M44" s="8"/>
      <c r="N44" s="8"/>
      <c r="O44" s="8"/>
      <c r="P44" s="8"/>
      <c r="Q44" s="8"/>
      <c r="R44" s="8"/>
      <c r="S44" s="8"/>
      <c r="T44" s="8"/>
      <c r="U44" s="8"/>
      <c r="V44" s="8"/>
      <c r="W44" s="8"/>
      <c r="X44" s="8"/>
      <c r="Y44" s="8"/>
      <c r="Z44" s="8"/>
      <c r="AA44" s="8"/>
      <c r="AB44" s="8"/>
      <c r="AC44" s="8"/>
      <c r="AD44" s="8"/>
      <c r="AE44" s="8"/>
    </row>
    <row r="45" spans="1:31" hidden="1">
      <c r="A45" s="10"/>
      <c r="B45" s="10"/>
      <c r="C45" s="10"/>
      <c r="D45" s="10"/>
      <c r="E45" s="8"/>
      <c r="F45" s="8"/>
      <c r="G45" s="8"/>
      <c r="H45" s="8"/>
      <c r="I45" s="8"/>
      <c r="J45" s="8"/>
      <c r="K45" s="8"/>
      <c r="L45" s="8"/>
      <c r="M45" s="8"/>
      <c r="N45" s="8"/>
      <c r="O45" s="8"/>
      <c r="P45" s="8"/>
      <c r="Q45" s="8"/>
      <c r="R45" s="8"/>
      <c r="S45" s="8"/>
      <c r="T45" s="8"/>
      <c r="U45" s="8"/>
      <c r="V45" s="8"/>
      <c r="W45" s="8"/>
      <c r="X45" s="8"/>
      <c r="Y45" s="8"/>
      <c r="Z45" s="8"/>
      <c r="AA45" s="8"/>
      <c r="AB45" s="8"/>
      <c r="AC45" s="8"/>
      <c r="AD45" s="8"/>
      <c r="AE45" s="8"/>
    </row>
    <row r="46" spans="1:31" hidden="1">
      <c r="A46" s="10"/>
      <c r="B46" s="10"/>
      <c r="C46" s="10"/>
      <c r="D46" s="10"/>
      <c r="E46" s="8"/>
      <c r="F46" s="8"/>
      <c r="G46" s="8"/>
      <c r="H46" s="8"/>
      <c r="I46" s="8"/>
      <c r="J46" s="8"/>
      <c r="K46" s="8"/>
      <c r="L46" s="8"/>
      <c r="M46" s="8"/>
      <c r="N46" s="8"/>
      <c r="O46" s="8"/>
      <c r="P46" s="8"/>
      <c r="Q46" s="8"/>
      <c r="R46" s="8"/>
      <c r="S46" s="8"/>
      <c r="T46" s="8"/>
      <c r="U46" s="8"/>
      <c r="V46" s="8"/>
      <c r="W46" s="8"/>
      <c r="X46" s="8"/>
      <c r="Y46" s="8"/>
      <c r="Z46" s="8"/>
      <c r="AA46" s="8"/>
      <c r="AB46" s="8"/>
      <c r="AC46" s="8"/>
      <c r="AD46" s="8"/>
      <c r="AE46" s="8"/>
    </row>
    <row r="47" spans="1:31" hidden="1">
      <c r="A47" s="10"/>
      <c r="B47" s="10"/>
      <c r="C47" s="10"/>
      <c r="D47" s="10"/>
      <c r="E47" s="8"/>
      <c r="F47" s="8"/>
      <c r="G47" s="8"/>
      <c r="H47" s="8"/>
      <c r="I47" s="8"/>
      <c r="J47" s="8"/>
      <c r="K47" s="8"/>
      <c r="L47" s="8"/>
      <c r="M47" s="8"/>
      <c r="N47" s="8"/>
      <c r="O47" s="8"/>
      <c r="P47" s="8"/>
      <c r="Q47" s="8"/>
      <c r="R47" s="8"/>
      <c r="S47" s="8"/>
      <c r="T47" s="8"/>
      <c r="U47" s="8"/>
      <c r="V47" s="8"/>
      <c r="W47" s="8"/>
      <c r="X47" s="8"/>
      <c r="Y47" s="8"/>
      <c r="Z47" s="8"/>
      <c r="AA47" s="8"/>
      <c r="AB47" s="8"/>
      <c r="AC47" s="8"/>
      <c r="AD47" s="8"/>
      <c r="AE47" s="8"/>
    </row>
    <row r="48" spans="1:31" hidden="1">
      <c r="A48" s="10"/>
      <c r="B48" s="10"/>
      <c r="C48" s="10"/>
      <c r="D48" s="10"/>
      <c r="E48" s="8"/>
      <c r="F48" s="8"/>
      <c r="G48" s="8"/>
      <c r="H48" s="8"/>
      <c r="I48" s="8"/>
      <c r="J48" s="8"/>
      <c r="K48" s="8"/>
      <c r="L48" s="8"/>
      <c r="M48" s="8"/>
      <c r="N48" s="8"/>
      <c r="O48" s="8"/>
      <c r="P48" s="8"/>
      <c r="Q48" s="8"/>
      <c r="R48" s="8"/>
      <c r="S48" s="8"/>
      <c r="T48" s="8"/>
      <c r="U48" s="8"/>
      <c r="V48" s="8"/>
      <c r="W48" s="8"/>
      <c r="X48" s="8"/>
      <c r="Y48" s="8"/>
      <c r="Z48" s="8"/>
      <c r="AA48" s="8"/>
      <c r="AB48" s="8"/>
      <c r="AC48" s="8"/>
      <c r="AD48" s="8"/>
      <c r="AE48" s="8"/>
    </row>
    <row r="49" spans="1:31" hidden="1">
      <c r="A49" s="10"/>
      <c r="B49" s="10"/>
      <c r="C49" s="10"/>
      <c r="D49" s="10"/>
      <c r="E49" s="8"/>
      <c r="F49" s="8"/>
      <c r="G49" s="8"/>
      <c r="H49" s="8"/>
      <c r="I49" s="8"/>
      <c r="J49" s="8"/>
      <c r="K49" s="8"/>
      <c r="L49" s="8"/>
      <c r="M49" s="8"/>
      <c r="N49" s="8"/>
      <c r="O49" s="8"/>
      <c r="P49" s="8"/>
      <c r="Q49" s="8"/>
      <c r="R49" s="8"/>
      <c r="S49" s="8"/>
      <c r="T49" s="8"/>
      <c r="U49" s="8"/>
      <c r="V49" s="8"/>
      <c r="W49" s="8"/>
      <c r="X49" s="8"/>
      <c r="Y49" s="8"/>
      <c r="Z49" s="8"/>
      <c r="AA49" s="8"/>
      <c r="AB49" s="8"/>
      <c r="AC49" s="8"/>
      <c r="AD49" s="8"/>
      <c r="AE49" s="8"/>
    </row>
    <row r="50" spans="1:31" hidden="1">
      <c r="A50" s="10"/>
      <c r="B50" s="10"/>
      <c r="C50" s="10"/>
      <c r="D50" s="10"/>
      <c r="E50" s="8"/>
      <c r="F50" s="8"/>
      <c r="G50" s="8"/>
      <c r="H50" s="8"/>
      <c r="I50" s="8"/>
      <c r="J50" s="8"/>
      <c r="K50" s="8"/>
      <c r="L50" s="8"/>
      <c r="M50" s="8"/>
      <c r="N50" s="8"/>
      <c r="O50" s="8"/>
      <c r="P50" s="8"/>
      <c r="Q50" s="8"/>
      <c r="R50" s="8"/>
      <c r="S50" s="8"/>
      <c r="T50" s="8"/>
      <c r="U50" s="8"/>
      <c r="V50" s="8"/>
      <c r="W50" s="8"/>
      <c r="X50" s="8"/>
      <c r="Y50" s="8"/>
      <c r="Z50" s="8"/>
      <c r="AA50" s="8"/>
      <c r="AB50" s="8"/>
      <c r="AC50" s="8"/>
      <c r="AD50" s="8"/>
      <c r="AE50" s="8"/>
    </row>
    <row r="51" spans="1:31" hidden="1">
      <c r="A51" s="10"/>
      <c r="B51" s="10"/>
      <c r="C51" s="10"/>
      <c r="D51" s="10"/>
      <c r="E51" s="8"/>
      <c r="F51" s="8"/>
      <c r="G51" s="8"/>
      <c r="H51" s="8"/>
      <c r="I51" s="8"/>
      <c r="J51" s="8"/>
      <c r="K51" s="8"/>
      <c r="L51" s="8"/>
      <c r="M51" s="8"/>
      <c r="N51" s="8"/>
      <c r="O51" s="8"/>
      <c r="P51" s="8"/>
      <c r="Q51" s="8"/>
      <c r="R51" s="8"/>
      <c r="S51" s="8"/>
      <c r="T51" s="8"/>
      <c r="U51" s="8"/>
      <c r="V51" s="8"/>
      <c r="W51" s="8"/>
      <c r="X51" s="8"/>
      <c r="Y51" s="8"/>
      <c r="Z51" s="8"/>
      <c r="AA51" s="8"/>
      <c r="AB51" s="8"/>
      <c r="AC51" s="8"/>
      <c r="AD51" s="8"/>
      <c r="AE51" s="8"/>
    </row>
    <row r="52" spans="1:31" hidden="1">
      <c r="A52" s="10"/>
      <c r="B52" s="10"/>
      <c r="C52" s="10"/>
      <c r="D52" s="10"/>
      <c r="E52" s="8"/>
      <c r="F52" s="8"/>
      <c r="G52" s="8"/>
      <c r="H52" s="8"/>
      <c r="I52" s="8"/>
      <c r="J52" s="8"/>
      <c r="K52" s="8"/>
      <c r="L52" s="8"/>
      <c r="M52" s="8"/>
      <c r="N52" s="8"/>
      <c r="O52" s="8"/>
      <c r="P52" s="8"/>
      <c r="Q52" s="8"/>
      <c r="R52" s="8"/>
      <c r="S52" s="8"/>
      <c r="T52" s="8"/>
      <c r="U52" s="8"/>
      <c r="V52" s="8"/>
      <c r="W52" s="8"/>
      <c r="X52" s="8"/>
      <c r="Y52" s="8"/>
      <c r="Z52" s="8"/>
      <c r="AA52" s="8"/>
      <c r="AB52" s="8"/>
      <c r="AC52" s="8"/>
      <c r="AD52" s="8"/>
      <c r="AE52" s="8"/>
    </row>
    <row r="53" spans="1:31" hidden="1">
      <c r="A53" s="10"/>
      <c r="B53" s="10"/>
      <c r="C53" s="10"/>
      <c r="D53" s="10"/>
      <c r="E53" s="8"/>
      <c r="F53" s="8"/>
      <c r="G53" s="8"/>
      <c r="H53" s="8"/>
      <c r="I53" s="8"/>
      <c r="J53" s="8"/>
      <c r="K53" s="8"/>
      <c r="L53" s="8"/>
      <c r="M53" s="8"/>
      <c r="N53" s="8"/>
      <c r="O53" s="8"/>
      <c r="P53" s="8"/>
      <c r="Q53" s="8"/>
      <c r="R53" s="8"/>
      <c r="S53" s="8"/>
      <c r="T53" s="8"/>
      <c r="U53" s="8"/>
      <c r="V53" s="8"/>
      <c r="W53" s="8"/>
      <c r="X53" s="8"/>
      <c r="Y53" s="8"/>
      <c r="Z53" s="8"/>
      <c r="AA53" s="8"/>
      <c r="AB53" s="8"/>
      <c r="AC53" s="8"/>
      <c r="AD53" s="8"/>
      <c r="AE53" s="8"/>
    </row>
    <row r="54" spans="1:31" hidden="1">
      <c r="A54" s="10"/>
      <c r="B54" s="10"/>
      <c r="C54" s="10"/>
      <c r="D54" s="10"/>
      <c r="E54" s="8"/>
      <c r="F54" s="8"/>
      <c r="G54" s="8"/>
      <c r="H54" s="8"/>
      <c r="I54" s="8"/>
      <c r="J54" s="8"/>
      <c r="K54" s="8"/>
      <c r="L54" s="8"/>
      <c r="M54" s="8"/>
      <c r="N54" s="8"/>
      <c r="O54" s="8"/>
      <c r="P54" s="8"/>
      <c r="Q54" s="8"/>
      <c r="R54" s="8"/>
      <c r="S54" s="8"/>
      <c r="T54" s="8"/>
      <c r="U54" s="8"/>
      <c r="V54" s="8"/>
      <c r="W54" s="8"/>
      <c r="X54" s="8"/>
      <c r="Y54" s="8"/>
      <c r="Z54" s="8"/>
      <c r="AA54" s="8"/>
      <c r="AB54" s="8"/>
      <c r="AC54" s="8"/>
      <c r="AD54" s="8"/>
      <c r="AE54" s="8"/>
    </row>
    <row r="55" spans="1:31" hidden="1">
      <c r="A55" s="8"/>
      <c r="B55" s="8"/>
      <c r="C55" s="8"/>
      <c r="D55" s="8"/>
      <c r="E55" s="8"/>
      <c r="F55" s="8"/>
      <c r="G55" s="8"/>
      <c r="H55" s="8"/>
      <c r="I55" s="8"/>
      <c r="J55" s="8"/>
      <c r="K55" s="8"/>
      <c r="L55" s="8"/>
      <c r="M55" s="8"/>
      <c r="N55" s="8"/>
      <c r="O55" s="8"/>
      <c r="P55" s="8"/>
      <c r="Q55" s="8"/>
      <c r="R55" s="8"/>
      <c r="S55" s="8"/>
      <c r="T55" s="8"/>
      <c r="U55" s="8"/>
      <c r="V55" s="8"/>
      <c r="W55" s="8"/>
      <c r="X55" s="8"/>
      <c r="Y55" s="8"/>
      <c r="Z55" s="8"/>
      <c r="AA55" s="8"/>
      <c r="AB55" s="8"/>
      <c r="AC55" s="8"/>
      <c r="AD55" s="8"/>
      <c r="AE55" s="8"/>
    </row>
    <row r="56" spans="1:31" hidden="1">
      <c r="A56" s="8"/>
      <c r="B56" s="8"/>
      <c r="C56" s="8"/>
      <c r="D56" s="8"/>
      <c r="E56" s="8"/>
      <c r="F56" s="8"/>
      <c r="G56" s="8"/>
      <c r="H56" s="8"/>
      <c r="I56" s="8"/>
      <c r="J56" s="8"/>
      <c r="K56" s="8"/>
      <c r="L56" s="8"/>
      <c r="M56" s="8"/>
      <c r="N56" s="8"/>
      <c r="O56" s="8"/>
      <c r="P56" s="8"/>
      <c r="Q56" s="8"/>
      <c r="R56" s="8"/>
      <c r="S56" s="8"/>
      <c r="T56" s="8"/>
      <c r="U56" s="8"/>
      <c r="V56" s="8"/>
      <c r="W56" s="8"/>
      <c r="X56" s="8"/>
      <c r="Y56" s="8"/>
      <c r="Z56" s="8"/>
      <c r="AA56" s="8"/>
      <c r="AB56" s="8"/>
      <c r="AC56" s="8"/>
      <c r="AD56" s="8"/>
      <c r="AE56" s="8"/>
    </row>
    <row r="57" spans="1:31" hidden="1">
      <c r="A57" s="8"/>
      <c r="B57" s="8"/>
      <c r="C57" s="8"/>
      <c r="D57" s="8"/>
      <c r="E57" s="8"/>
      <c r="F57" s="8"/>
      <c r="G57" s="8"/>
      <c r="H57" s="8"/>
      <c r="I57" s="8"/>
      <c r="J57" s="8"/>
      <c r="K57" s="8"/>
      <c r="L57" s="8"/>
      <c r="M57" s="8"/>
      <c r="N57" s="8"/>
      <c r="O57" s="8"/>
      <c r="P57" s="8"/>
      <c r="Q57" s="8"/>
      <c r="R57" s="8"/>
      <c r="S57" s="8"/>
      <c r="T57" s="8"/>
      <c r="U57" s="8"/>
      <c r="V57" s="8"/>
      <c r="W57" s="8"/>
      <c r="X57" s="8"/>
      <c r="Y57" s="8"/>
      <c r="Z57" s="8"/>
      <c r="AA57" s="8"/>
      <c r="AB57" s="8"/>
      <c r="AC57" s="8"/>
      <c r="AD57" s="8"/>
      <c r="AE57" s="8"/>
    </row>
    <row r="58" spans="1:31" hidden="1">
      <c r="A58" s="8"/>
      <c r="B58" s="8"/>
      <c r="C58" s="8"/>
      <c r="D58" s="8"/>
      <c r="E58" s="8"/>
      <c r="F58" s="8"/>
      <c r="G58" s="8"/>
      <c r="H58" s="8"/>
      <c r="I58" s="8"/>
      <c r="J58" s="8"/>
      <c r="K58" s="8"/>
      <c r="L58" s="8"/>
      <c r="M58" s="8"/>
      <c r="N58" s="8"/>
      <c r="O58" s="8"/>
      <c r="P58" s="8"/>
      <c r="Q58" s="8"/>
      <c r="R58" s="8"/>
      <c r="S58" s="8"/>
      <c r="T58" s="8"/>
      <c r="U58" s="8"/>
      <c r="V58" s="8"/>
      <c r="W58" s="8"/>
      <c r="X58" s="8"/>
      <c r="Y58" s="8"/>
      <c r="Z58" s="8"/>
      <c r="AA58" s="8"/>
      <c r="AB58" s="8"/>
      <c r="AC58" s="8"/>
      <c r="AD58" s="8"/>
      <c r="AE58" s="8"/>
    </row>
    <row r="59" spans="1:31" hidden="1">
      <c r="A59" s="8"/>
      <c r="B59" s="8"/>
      <c r="C59" s="8"/>
      <c r="D59" s="8"/>
      <c r="E59" s="8"/>
      <c r="F59" s="8"/>
      <c r="G59" s="8"/>
      <c r="H59" s="8"/>
      <c r="I59" s="8"/>
      <c r="J59" s="8"/>
      <c r="K59" s="8"/>
      <c r="L59" s="8"/>
      <c r="M59" s="8"/>
      <c r="N59" s="8"/>
      <c r="O59" s="8"/>
      <c r="P59" s="8"/>
      <c r="Q59" s="8"/>
      <c r="R59" s="8"/>
      <c r="S59" s="8"/>
      <c r="T59" s="8"/>
      <c r="U59" s="8"/>
      <c r="V59" s="8"/>
      <c r="W59" s="8"/>
      <c r="X59" s="8"/>
      <c r="Y59" s="8"/>
      <c r="Z59" s="8"/>
      <c r="AA59" s="8"/>
      <c r="AB59" s="8"/>
      <c r="AC59" s="8"/>
      <c r="AD59" s="8"/>
      <c r="AE59" s="8"/>
    </row>
    <row r="60" spans="1:31" hidden="1">
      <c r="A60" s="8"/>
      <c r="B60" s="8"/>
      <c r="C60" s="8"/>
      <c r="D60" s="8"/>
      <c r="E60" s="8"/>
      <c r="F60" s="8"/>
      <c r="G60" s="8"/>
      <c r="H60" s="8"/>
      <c r="I60" s="8"/>
      <c r="J60" s="8"/>
      <c r="K60" s="8"/>
      <c r="L60" s="8"/>
      <c r="M60" s="8"/>
      <c r="N60" s="8"/>
      <c r="O60" s="8"/>
      <c r="P60" s="8"/>
      <c r="Q60" s="8"/>
      <c r="R60" s="8"/>
      <c r="S60" s="8"/>
      <c r="T60" s="8"/>
      <c r="U60" s="8"/>
      <c r="V60" s="8"/>
      <c r="W60" s="8"/>
      <c r="X60" s="8"/>
      <c r="Y60" s="8"/>
      <c r="Z60" s="8"/>
      <c r="AA60" s="8"/>
      <c r="AB60" s="8"/>
      <c r="AC60" s="8"/>
      <c r="AD60" s="8"/>
      <c r="AE60" s="8"/>
    </row>
    <row r="61" spans="1:31" hidden="1">
      <c r="A61" s="8"/>
      <c r="B61" s="8"/>
      <c r="C61" s="8"/>
      <c r="D61" s="8"/>
      <c r="E61" s="8"/>
      <c r="F61" s="8"/>
      <c r="G61" s="8"/>
      <c r="H61" s="8"/>
      <c r="I61" s="8"/>
      <c r="J61" s="8"/>
      <c r="K61" s="8"/>
      <c r="L61" s="8"/>
      <c r="M61" s="8"/>
      <c r="N61" s="8"/>
      <c r="O61" s="8"/>
      <c r="P61" s="8"/>
      <c r="Q61" s="8"/>
      <c r="R61" s="8"/>
      <c r="S61" s="8"/>
      <c r="T61" s="8"/>
      <c r="U61" s="8"/>
      <c r="V61" s="8"/>
      <c r="W61" s="8"/>
      <c r="X61" s="8"/>
      <c r="Y61" s="8"/>
      <c r="Z61" s="8"/>
      <c r="AA61" s="8"/>
      <c r="AB61" s="8"/>
      <c r="AC61" s="8"/>
      <c r="AD61" s="8"/>
      <c r="AE61" s="8"/>
    </row>
    <row r="62" spans="1:31" hidden="1">
      <c r="A62" s="8"/>
      <c r="B62" s="8"/>
      <c r="C62" s="8"/>
      <c r="D62" s="8"/>
      <c r="E62" s="8"/>
      <c r="F62" s="8"/>
      <c r="G62" s="8"/>
      <c r="H62" s="8"/>
      <c r="I62" s="8"/>
      <c r="J62" s="8"/>
      <c r="K62" s="8"/>
      <c r="L62" s="8"/>
      <c r="M62" s="8"/>
      <c r="N62" s="8"/>
      <c r="O62" s="8"/>
      <c r="P62" s="8"/>
      <c r="Q62" s="8"/>
      <c r="R62" s="8"/>
      <c r="S62" s="8"/>
      <c r="T62" s="8"/>
      <c r="U62" s="8"/>
      <c r="V62" s="8"/>
      <c r="W62" s="8"/>
      <c r="X62" s="8"/>
      <c r="Y62" s="8"/>
      <c r="Z62" s="8"/>
      <c r="AA62" s="8"/>
      <c r="AB62" s="8"/>
      <c r="AC62" s="8"/>
      <c r="AD62" s="8"/>
      <c r="AE62" s="8"/>
    </row>
    <row r="63" spans="1:31" hidden="1">
      <c r="A63" s="293" t="s">
        <v>565</v>
      </c>
      <c r="B63" s="8"/>
      <c r="C63" s="8"/>
      <c r="D63" s="8"/>
      <c r="E63" s="8"/>
      <c r="F63" s="8"/>
      <c r="G63" s="8"/>
      <c r="H63" s="8"/>
      <c r="I63" s="8"/>
      <c r="J63" s="8"/>
      <c r="K63" s="8"/>
      <c r="L63" s="8"/>
      <c r="M63" s="8"/>
      <c r="N63" s="8"/>
      <c r="O63" s="8"/>
      <c r="P63" s="8"/>
      <c r="Q63" s="8"/>
      <c r="R63" s="8"/>
      <c r="S63" s="8"/>
      <c r="T63" s="8"/>
      <c r="U63" s="8"/>
      <c r="V63" s="8"/>
      <c r="W63" s="8"/>
      <c r="X63" s="8"/>
      <c r="Y63" s="8"/>
      <c r="Z63" s="8"/>
      <c r="AA63" s="8"/>
      <c r="AB63" s="8"/>
      <c r="AC63" s="8"/>
      <c r="AD63" s="8"/>
      <c r="AE63" s="8"/>
    </row>
    <row r="64" spans="1:31" hidden="1">
      <c r="A64" s="8"/>
      <c r="B64" s="8"/>
      <c r="C64" s="8"/>
      <c r="D64" s="8"/>
      <c r="E64" s="8"/>
      <c r="F64" s="8"/>
      <c r="G64" s="8"/>
      <c r="H64" s="8"/>
      <c r="I64" s="8"/>
      <c r="J64" s="8"/>
      <c r="K64" s="8"/>
      <c r="L64" s="8"/>
      <c r="M64" s="8"/>
      <c r="N64" s="8"/>
      <c r="O64" s="8"/>
      <c r="P64" s="8"/>
      <c r="Q64" s="8"/>
      <c r="R64" s="8"/>
      <c r="S64" s="8"/>
      <c r="T64" s="8"/>
      <c r="U64" s="8"/>
      <c r="V64" s="8"/>
      <c r="W64" s="8"/>
      <c r="X64" s="8"/>
      <c r="Y64" s="8"/>
      <c r="Z64" s="8"/>
      <c r="AA64" s="8"/>
      <c r="AB64" s="8"/>
      <c r="AC64" s="8"/>
      <c r="AD64" s="8"/>
      <c r="AE64" s="8"/>
    </row>
    <row r="65" spans="1:31" hidden="1">
      <c r="A65" s="8"/>
      <c r="B65" s="8"/>
      <c r="C65" s="8"/>
      <c r="D65" s="8"/>
      <c r="E65" s="8"/>
      <c r="F65" s="8"/>
      <c r="G65" s="8"/>
      <c r="H65" s="8"/>
      <c r="I65" s="8"/>
      <c r="J65" s="8"/>
      <c r="K65" s="8"/>
      <c r="L65" s="8"/>
      <c r="M65" s="8"/>
      <c r="N65" s="8"/>
      <c r="O65" s="8"/>
      <c r="P65" s="8"/>
      <c r="Q65" s="8"/>
      <c r="R65" s="8"/>
      <c r="S65" s="8"/>
      <c r="T65" s="8"/>
      <c r="U65" s="8"/>
      <c r="V65" s="8"/>
      <c r="W65" s="8"/>
      <c r="X65" s="8"/>
      <c r="Y65" s="8"/>
      <c r="Z65" s="8"/>
      <c r="AA65" s="8"/>
      <c r="AB65" s="8"/>
      <c r="AC65" s="8"/>
      <c r="AD65" s="8"/>
      <c r="AE65" s="8"/>
    </row>
    <row r="66" spans="1:31" hidden="1">
      <c r="A66" s="8"/>
      <c r="B66" s="8"/>
      <c r="C66" s="8"/>
      <c r="D66" s="8"/>
      <c r="E66" s="8"/>
      <c r="F66" s="8"/>
      <c r="G66" s="8"/>
      <c r="H66" s="8"/>
      <c r="I66" s="8"/>
      <c r="J66" s="8"/>
      <c r="K66" s="8"/>
      <c r="L66" s="8"/>
      <c r="M66" s="8"/>
      <c r="N66" s="8"/>
      <c r="O66" s="8"/>
      <c r="P66" s="8"/>
      <c r="Q66" s="8"/>
      <c r="R66" s="8"/>
      <c r="S66" s="8"/>
      <c r="T66" s="8"/>
      <c r="U66" s="8"/>
      <c r="V66" s="8"/>
      <c r="W66" s="8"/>
      <c r="X66" s="8"/>
      <c r="Y66" s="8"/>
      <c r="Z66" s="8"/>
      <c r="AA66" s="8"/>
      <c r="AB66" s="8"/>
      <c r="AC66" s="8"/>
      <c r="AD66" s="8"/>
      <c r="AE66" s="8"/>
    </row>
    <row r="67" spans="1:31" hidden="1">
      <c r="A67" s="8"/>
      <c r="B67" s="8"/>
      <c r="C67" s="8"/>
      <c r="D67" s="8"/>
      <c r="E67" s="8"/>
      <c r="F67" s="8"/>
      <c r="G67" s="8"/>
      <c r="H67" s="8"/>
      <c r="I67" s="8"/>
      <c r="J67" s="8"/>
      <c r="K67" s="8"/>
      <c r="L67" s="8"/>
      <c r="M67" s="8"/>
      <c r="N67" s="8"/>
      <c r="O67" s="8"/>
      <c r="P67" s="8"/>
      <c r="Q67" s="8"/>
      <c r="R67" s="8"/>
      <c r="S67" s="8"/>
      <c r="T67" s="8"/>
      <c r="U67" s="8"/>
      <c r="V67" s="8"/>
      <c r="W67" s="8"/>
      <c r="X67" s="8"/>
      <c r="Y67" s="8"/>
      <c r="Z67" s="8"/>
      <c r="AA67" s="8"/>
      <c r="AB67" s="8"/>
      <c r="AC67" s="8"/>
      <c r="AD67" s="8"/>
      <c r="AE67" s="8"/>
    </row>
    <row r="68" spans="1:31" hidden="1">
      <c r="A68" s="8"/>
      <c r="B68" s="8"/>
      <c r="C68" s="8"/>
      <c r="D68" s="8"/>
      <c r="E68" s="8"/>
      <c r="F68" s="8"/>
      <c r="G68" s="8"/>
      <c r="H68" s="8"/>
      <c r="I68" s="8"/>
      <c r="J68" s="8"/>
      <c r="K68" s="8"/>
      <c r="L68" s="8"/>
      <c r="M68" s="8"/>
      <c r="N68" s="8"/>
      <c r="O68" s="8"/>
      <c r="P68" s="8"/>
      <c r="Q68" s="8"/>
      <c r="R68" s="8"/>
      <c r="S68" s="8"/>
      <c r="T68" s="8"/>
      <c r="U68" s="8"/>
      <c r="V68" s="8"/>
      <c r="W68" s="8"/>
      <c r="X68" s="8"/>
      <c r="Y68" s="8"/>
      <c r="Z68" s="8"/>
      <c r="AA68" s="8"/>
      <c r="AB68" s="8"/>
      <c r="AC68" s="8"/>
      <c r="AD68" s="8"/>
      <c r="AE68" s="8"/>
    </row>
    <row r="69" spans="1:31" hidden="1">
      <c r="A69" s="8"/>
      <c r="B69" s="8"/>
      <c r="C69" s="8"/>
      <c r="D69" s="8"/>
      <c r="E69" s="8"/>
      <c r="F69" s="8"/>
      <c r="G69" s="8"/>
      <c r="H69" s="8"/>
      <c r="I69" s="8"/>
      <c r="J69" s="8"/>
      <c r="K69" s="8"/>
      <c r="L69" s="8"/>
      <c r="M69" s="8"/>
      <c r="N69" s="8"/>
      <c r="O69" s="8"/>
      <c r="P69" s="8"/>
      <c r="Q69" s="8"/>
      <c r="R69" s="8"/>
      <c r="S69" s="8"/>
      <c r="T69" s="8"/>
      <c r="U69" s="8"/>
      <c r="V69" s="8"/>
      <c r="W69" s="8"/>
      <c r="X69" s="8"/>
      <c r="Y69" s="8"/>
      <c r="Z69" s="8"/>
      <c r="AA69" s="8"/>
      <c r="AB69" s="8"/>
      <c r="AC69" s="8"/>
      <c r="AD69" s="8"/>
      <c r="AE69" s="8"/>
    </row>
    <row r="70" spans="1:31" hidden="1">
      <c r="A70" s="8"/>
      <c r="B70" s="8"/>
      <c r="C70" s="8"/>
      <c r="D70" s="8"/>
      <c r="E70" s="8"/>
      <c r="F70" s="8"/>
      <c r="G70" s="8"/>
      <c r="H70" s="8"/>
      <c r="I70" s="8"/>
      <c r="J70" s="8"/>
      <c r="K70" s="8"/>
      <c r="L70" s="8"/>
      <c r="M70" s="8"/>
      <c r="N70" s="8"/>
      <c r="O70" s="8"/>
      <c r="P70" s="8"/>
      <c r="Q70" s="8"/>
      <c r="R70" s="8"/>
      <c r="S70" s="8"/>
      <c r="T70" s="8"/>
      <c r="U70" s="8"/>
      <c r="V70" s="8"/>
      <c r="W70" s="8"/>
      <c r="X70" s="8"/>
      <c r="Y70" s="8"/>
      <c r="Z70" s="8"/>
      <c r="AA70" s="8"/>
      <c r="AB70" s="8"/>
      <c r="AC70" s="8"/>
      <c r="AD70" s="8"/>
      <c r="AE70" s="8"/>
    </row>
    <row r="71" spans="1:31" hidden="1">
      <c r="A71" s="8"/>
      <c r="B71" s="8"/>
      <c r="C71" s="8"/>
      <c r="D71" s="8"/>
      <c r="E71" s="8"/>
      <c r="F71" s="8"/>
      <c r="G71" s="8"/>
      <c r="H71" s="8"/>
      <c r="I71" s="8"/>
      <c r="J71" s="8"/>
      <c r="K71" s="8"/>
      <c r="L71" s="8"/>
      <c r="M71" s="8"/>
      <c r="N71" s="8"/>
      <c r="O71" s="8"/>
      <c r="P71" s="8"/>
      <c r="Q71" s="8"/>
      <c r="R71" s="8"/>
      <c r="S71" s="8"/>
      <c r="T71" s="8"/>
      <c r="U71" s="8"/>
      <c r="V71" s="8"/>
      <c r="W71" s="8"/>
      <c r="X71" s="8"/>
      <c r="Y71" s="8"/>
      <c r="Z71" s="8"/>
      <c r="AA71" s="8"/>
      <c r="AB71" s="8"/>
      <c r="AC71" s="8"/>
      <c r="AD71" s="8"/>
      <c r="AE71" s="8"/>
    </row>
    <row r="72" spans="1:31" hidden="1">
      <c r="A72" s="8"/>
      <c r="B72" s="8"/>
      <c r="C72" s="8"/>
      <c r="D72" s="8"/>
      <c r="E72" s="8"/>
      <c r="F72" s="8"/>
      <c r="G72" s="8"/>
      <c r="H72" s="8"/>
      <c r="I72" s="8"/>
      <c r="J72" s="8"/>
      <c r="K72" s="8"/>
      <c r="L72" s="8"/>
      <c r="M72" s="8"/>
      <c r="N72" s="8"/>
      <c r="O72" s="8"/>
      <c r="P72" s="8"/>
      <c r="Q72" s="8"/>
      <c r="R72" s="8"/>
      <c r="S72" s="8"/>
      <c r="T72" s="8"/>
      <c r="U72" s="8"/>
      <c r="V72" s="8"/>
      <c r="W72" s="8"/>
      <c r="X72" s="8"/>
      <c r="Y72" s="8"/>
      <c r="Z72" s="8"/>
      <c r="AA72" s="8"/>
      <c r="AB72" s="8"/>
      <c r="AC72" s="8"/>
      <c r="AD72" s="8"/>
      <c r="AE72" s="8"/>
    </row>
    <row r="73" spans="1:31" hidden="1">
      <c r="A73" s="8"/>
      <c r="B73" s="8"/>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row>
    <row r="74" spans="1:31" hidden="1">
      <c r="A74" s="8"/>
      <c r="B74" s="8"/>
      <c r="C74" s="8"/>
      <c r="D74" s="8"/>
      <c r="E74" s="8"/>
      <c r="F74" s="8"/>
      <c r="G74" s="8"/>
      <c r="H74" s="8"/>
      <c r="I74" s="8"/>
      <c r="J74" s="8"/>
      <c r="K74" s="8"/>
      <c r="L74" s="8"/>
      <c r="M74" s="8"/>
      <c r="N74" s="8"/>
      <c r="O74" s="8"/>
      <c r="P74" s="8"/>
      <c r="Q74" s="8"/>
      <c r="R74" s="8"/>
      <c r="S74" s="8"/>
      <c r="T74" s="8"/>
      <c r="U74" s="8"/>
      <c r="V74" s="8"/>
      <c r="W74" s="8"/>
      <c r="X74" s="8"/>
      <c r="Y74" s="8"/>
      <c r="Z74" s="8"/>
      <c r="AA74" s="8"/>
      <c r="AB74" s="8"/>
      <c r="AC74" s="8"/>
      <c r="AD74" s="8"/>
      <c r="AE74" s="8"/>
    </row>
    <row r="75" spans="1:31" hidden="1">
      <c r="A75" s="8"/>
      <c r="B75" s="8"/>
      <c r="C75" s="8"/>
      <c r="D75" s="8"/>
      <c r="E75" s="8"/>
      <c r="F75" s="8"/>
      <c r="G75" s="8"/>
      <c r="H75" s="8"/>
      <c r="I75" s="8"/>
      <c r="J75" s="8"/>
      <c r="K75" s="8"/>
      <c r="L75" s="8"/>
      <c r="M75" s="8"/>
      <c r="N75" s="8"/>
      <c r="O75" s="8"/>
      <c r="P75" s="8"/>
      <c r="Q75" s="8"/>
      <c r="R75" s="8"/>
      <c r="S75" s="8"/>
      <c r="T75" s="8"/>
      <c r="U75" s="8"/>
      <c r="V75" s="8"/>
      <c r="W75" s="8"/>
      <c r="X75" s="8"/>
      <c r="Y75" s="8"/>
      <c r="Z75" s="8"/>
      <c r="AA75" s="8"/>
      <c r="AB75" s="8"/>
      <c r="AC75" s="8"/>
      <c r="AD75" s="8"/>
      <c r="AE75" s="8"/>
    </row>
    <row r="76" spans="1:31" hidden="1">
      <c r="A76" s="8"/>
      <c r="B76" s="8"/>
      <c r="C76" s="8"/>
      <c r="D76" s="8"/>
      <c r="E76" s="8"/>
      <c r="F76" s="8"/>
      <c r="G76" s="8"/>
      <c r="H76" s="8"/>
      <c r="I76" s="8"/>
      <c r="J76" s="8"/>
      <c r="K76" s="8"/>
      <c r="L76" s="8"/>
      <c r="M76" s="8"/>
      <c r="N76" s="8"/>
      <c r="O76" s="8"/>
      <c r="P76" s="8"/>
      <c r="Q76" s="8"/>
      <c r="R76" s="8"/>
      <c r="S76" s="8"/>
      <c r="T76" s="8"/>
      <c r="U76" s="8"/>
      <c r="V76" s="8"/>
      <c r="W76" s="8"/>
      <c r="X76" s="8"/>
      <c r="Y76" s="8"/>
      <c r="Z76" s="8"/>
      <c r="AA76" s="8"/>
      <c r="AB76" s="8"/>
      <c r="AC76" s="8"/>
      <c r="AD76" s="8"/>
      <c r="AE76" s="8"/>
    </row>
    <row r="77" spans="1:31" hidden="1">
      <c r="A77" s="8"/>
      <c r="B77" s="8"/>
      <c r="C77" s="8"/>
      <c r="D77" s="8"/>
      <c r="E77" s="8"/>
      <c r="F77" s="8"/>
      <c r="G77" s="8"/>
      <c r="H77" s="8"/>
      <c r="I77" s="8"/>
      <c r="J77" s="8"/>
      <c r="K77" s="8"/>
      <c r="L77" s="8"/>
      <c r="M77" s="8"/>
      <c r="N77" s="8"/>
      <c r="O77" s="8"/>
      <c r="P77" s="8"/>
      <c r="Q77" s="8"/>
      <c r="R77" s="8"/>
      <c r="S77" s="8"/>
      <c r="T77" s="8"/>
      <c r="U77" s="8"/>
      <c r="V77" s="8"/>
      <c r="W77" s="8"/>
      <c r="X77" s="8"/>
      <c r="Y77" s="8"/>
      <c r="Z77" s="8"/>
      <c r="AA77" s="8"/>
      <c r="AB77" s="8"/>
      <c r="AC77" s="8"/>
      <c r="AD77" s="8"/>
      <c r="AE77" s="8"/>
    </row>
    <row r="78" spans="1:31" hidden="1">
      <c r="A78" s="8"/>
      <c r="B78" s="8"/>
      <c r="C78" s="8"/>
      <c r="D78" s="8"/>
      <c r="E78" s="8"/>
      <c r="F78" s="8"/>
      <c r="G78" s="8"/>
      <c r="H78" s="8"/>
      <c r="I78" s="8"/>
      <c r="J78" s="8"/>
      <c r="K78" s="8"/>
      <c r="L78" s="8"/>
      <c r="M78" s="8"/>
      <c r="N78" s="8"/>
      <c r="O78" s="8"/>
      <c r="P78" s="8"/>
      <c r="Q78" s="8"/>
      <c r="R78" s="8"/>
      <c r="S78" s="8"/>
      <c r="T78" s="8"/>
      <c r="U78" s="8"/>
      <c r="V78" s="8"/>
      <c r="W78" s="8"/>
      <c r="X78" s="8"/>
      <c r="Y78" s="8"/>
      <c r="Z78" s="8"/>
      <c r="AA78" s="8"/>
      <c r="AB78" s="8"/>
      <c r="AC78" s="8"/>
      <c r="AD78" s="8"/>
      <c r="AE78" s="8"/>
    </row>
    <row r="79" spans="1:31" hidden="1">
      <c r="A79" s="8"/>
      <c r="B79" s="8"/>
      <c r="C79" s="8"/>
      <c r="D79" s="8"/>
      <c r="E79" s="8"/>
      <c r="F79" s="8"/>
      <c r="G79" s="8"/>
      <c r="H79" s="8"/>
      <c r="I79" s="8"/>
      <c r="J79" s="8"/>
      <c r="K79" s="8"/>
      <c r="L79" s="8"/>
      <c r="M79" s="8"/>
      <c r="N79" s="8"/>
      <c r="O79" s="8"/>
      <c r="P79" s="8"/>
      <c r="Q79" s="8"/>
      <c r="R79" s="8"/>
      <c r="S79" s="8"/>
      <c r="T79" s="8"/>
      <c r="U79" s="8"/>
      <c r="V79" s="8"/>
      <c r="W79" s="8"/>
      <c r="X79" s="8"/>
      <c r="Y79" s="8"/>
      <c r="Z79" s="8"/>
      <c r="AA79" s="8"/>
      <c r="AB79" s="8"/>
      <c r="AC79" s="8"/>
      <c r="AD79" s="8"/>
      <c r="AE79" s="8"/>
    </row>
    <row r="80" spans="1:31">
      <c r="A80" s="8"/>
      <c r="B80" s="8"/>
      <c r="C80" s="8"/>
      <c r="D80" s="8"/>
      <c r="E80" s="8"/>
      <c r="F80" s="8"/>
      <c r="G80" s="8"/>
      <c r="H80" s="8"/>
      <c r="I80" s="8"/>
      <c r="J80" s="8"/>
      <c r="K80" s="8"/>
      <c r="L80" s="8"/>
      <c r="M80" s="8"/>
      <c r="N80" s="8"/>
      <c r="O80" s="8"/>
      <c r="P80" s="8"/>
      <c r="Q80" s="8"/>
      <c r="R80" s="8"/>
      <c r="S80" s="8"/>
      <c r="T80" s="8"/>
      <c r="U80" s="8"/>
      <c r="V80" s="8"/>
      <c r="W80" s="8"/>
      <c r="X80" s="8"/>
      <c r="Y80" s="8"/>
      <c r="Z80" s="8"/>
      <c r="AA80" s="8"/>
      <c r="AB80" s="8"/>
      <c r="AC80" s="8"/>
      <c r="AD80" s="8"/>
      <c r="AE80" s="8"/>
    </row>
  </sheetData>
  <mergeCells count="6">
    <mergeCell ref="A1:K1"/>
    <mergeCell ref="A36:F36"/>
    <mergeCell ref="I29:I30"/>
    <mergeCell ref="J29:J30"/>
    <mergeCell ref="A32:B32"/>
    <mergeCell ref="A33:B33"/>
  </mergeCells>
  <phoneticPr fontId="8"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3AA08-0AC5-4FCC-829D-381EF7CA031C}">
  <sheetPr codeName="Sheet10"/>
  <dimension ref="A1:AM123"/>
  <sheetViews>
    <sheetView zoomScale="85" zoomScaleNormal="85" workbookViewId="0">
      <selection sqref="A1:F1"/>
    </sheetView>
  </sheetViews>
  <sheetFormatPr defaultColWidth="8.7109375" defaultRowHeight="13.15"/>
  <cols>
    <col min="1" max="1" width="29.140625" style="10" customWidth="1"/>
    <col min="2" max="3" width="22.5703125" style="10" customWidth="1"/>
    <col min="4" max="4" width="33.7109375" style="10" customWidth="1"/>
    <col min="5" max="5" width="30" style="10" customWidth="1"/>
    <col min="6" max="6" width="26.7109375" style="10" customWidth="1"/>
    <col min="7" max="7" width="16.28515625" style="10" customWidth="1"/>
    <col min="8" max="8" width="11.42578125" style="10" customWidth="1"/>
    <col min="9" max="9" width="29.42578125" style="10" customWidth="1"/>
    <col min="10" max="10" width="49.42578125" style="10" customWidth="1"/>
    <col min="11" max="13" width="15.28515625" style="10" customWidth="1"/>
    <col min="14" max="14" width="12.28515625" style="10" customWidth="1"/>
    <col min="15" max="15" width="13.28515625" style="10" customWidth="1"/>
    <col min="16" max="16" width="15.28515625" style="10" customWidth="1"/>
    <col min="17" max="17" width="11" style="10" customWidth="1"/>
    <col min="18" max="21" width="15.28515625" style="10" customWidth="1"/>
    <col min="22" max="22" width="7.7109375" style="10" hidden="1" customWidth="1"/>
    <col min="23" max="23" width="12.42578125" style="10" hidden="1" customWidth="1"/>
    <col min="24" max="39" width="6.5703125" style="10" hidden="1" customWidth="1"/>
    <col min="40" max="40" width="15.28515625" style="10" customWidth="1"/>
    <col min="41" max="41" width="11.28515625" style="10" customWidth="1"/>
    <col min="42" max="42" width="6.28515625" style="10" customWidth="1"/>
    <col min="43" max="46" width="4.7109375" style="10" customWidth="1"/>
    <col min="47" max="47" width="6.28515625" style="10" customWidth="1"/>
    <col min="48" max="62" width="4.7109375" style="10" customWidth="1"/>
    <col min="63" max="16384" width="8.7109375" style="10"/>
  </cols>
  <sheetData>
    <row r="1" spans="1:9" ht="24" customHeight="1">
      <c r="A1" s="982" t="str">
        <f>"Water Heater - "&amp;Prototype!A2</f>
        <v>Water Heater - HotelLarge</v>
      </c>
      <c r="B1" s="906"/>
      <c r="C1" s="906"/>
      <c r="D1" s="906"/>
      <c r="E1" s="906"/>
      <c r="F1" s="906"/>
    </row>
    <row r="2" spans="1:9" ht="22.15" customHeight="1">
      <c r="A2" s="817" t="s">
        <v>243</v>
      </c>
      <c r="B2" s="792" t="s">
        <v>566</v>
      </c>
      <c r="C2" s="792" t="s">
        <v>567</v>
      </c>
      <c r="D2" s="817" t="s">
        <v>568</v>
      </c>
      <c r="E2" s="817" t="s">
        <v>569</v>
      </c>
      <c r="F2" s="817" t="s">
        <v>233</v>
      </c>
    </row>
    <row r="3" spans="1:9" ht="25.15" customHeight="1">
      <c r="A3" s="807" t="s">
        <v>360</v>
      </c>
      <c r="B3" s="797" t="s">
        <v>151</v>
      </c>
      <c r="C3" s="65">
        <v>0.8</v>
      </c>
      <c r="D3" s="256">
        <f>F42</f>
        <v>507</v>
      </c>
      <c r="E3" s="797" t="str">
        <f>ROUND(G47,0)&amp;" (Btu/hr)"</f>
        <v>3215 (Btu/hr)</v>
      </c>
      <c r="F3" s="797" t="s">
        <v>570</v>
      </c>
    </row>
    <row r="4" spans="1:9" ht="25.15" customHeight="1">
      <c r="A4" s="561" t="s">
        <v>372</v>
      </c>
      <c r="B4" s="560" t="s">
        <v>571</v>
      </c>
      <c r="C4" s="65">
        <v>0.8</v>
      </c>
      <c r="D4" s="256">
        <f>F42</f>
        <v>507</v>
      </c>
      <c r="E4" s="257" t="str">
        <f>ROUND(G42,0)&amp;" (Btu/hr)"</f>
        <v>3215 (Btu/hr)</v>
      </c>
      <c r="F4" s="797"/>
    </row>
    <row r="5" spans="1:9" ht="14.65" customHeight="1">
      <c r="A5" s="14"/>
      <c r="B5" s="14"/>
      <c r="C5" s="14"/>
      <c r="D5" s="14"/>
      <c r="E5" s="14"/>
    </row>
    <row r="6" spans="1:9" ht="14.65" customHeight="1"/>
    <row r="8" spans="1:9" ht="22.9" customHeight="1">
      <c r="A8" s="901" t="s">
        <v>572</v>
      </c>
      <c r="B8" s="901"/>
      <c r="C8" s="901"/>
      <c r="D8" s="901"/>
      <c r="E8" s="901"/>
      <c r="F8" s="901"/>
      <c r="G8" s="901"/>
    </row>
    <row r="9" spans="1:9" ht="66.599999999999994" customHeight="1">
      <c r="A9" s="803" t="s">
        <v>573</v>
      </c>
      <c r="B9" s="792" t="s">
        <v>574</v>
      </c>
      <c r="C9" s="792" t="s">
        <v>575</v>
      </c>
      <c r="D9" s="792" t="s">
        <v>175</v>
      </c>
      <c r="E9" s="792" t="s">
        <v>576</v>
      </c>
      <c r="F9" s="792" t="s">
        <v>577</v>
      </c>
      <c r="G9" s="792" t="s">
        <v>578</v>
      </c>
    </row>
    <row r="10" spans="1:9">
      <c r="A10" s="340" t="str">
        <f>Zones!A3</f>
        <v>BasementConference</v>
      </c>
      <c r="B10" s="346" t="s">
        <v>151</v>
      </c>
      <c r="C10" s="341">
        <f>Zones!G3*Zones!I3</f>
        <v>7454.9371290799945</v>
      </c>
      <c r="D10" s="342">
        <f>Zones!J3*Zones!I3</f>
        <v>246.01292525963984</v>
      </c>
      <c r="E10" s="454">
        <f>Data!L84</f>
        <v>0.27239999999999998</v>
      </c>
      <c r="F10" s="342">
        <f>D10*E10</f>
        <v>67.013920840725888</v>
      </c>
      <c r="G10" s="344">
        <f>F10/60</f>
        <v>1.1168986806787649</v>
      </c>
      <c r="H10" s="13"/>
      <c r="I10" s="13"/>
    </row>
    <row r="11" spans="1:9">
      <c r="A11" s="340" t="str">
        <f>Zones!A4</f>
        <v xml:space="preserve">BasementOffice </v>
      </c>
      <c r="B11" s="346" t="s">
        <v>151</v>
      </c>
      <c r="C11" s="341">
        <f>Zones!G4*Zones!I4</f>
        <v>4259.9640737599975</v>
      </c>
      <c r="D11" s="342">
        <f>Zones!J4*Zones!I4</f>
        <v>21.299820368799988</v>
      </c>
      <c r="E11" s="454">
        <v>0.18</v>
      </c>
      <c r="F11" s="342">
        <f t="shared" ref="F11:F13" si="0">D11*E11</f>
        <v>3.8339676663839977</v>
      </c>
      <c r="G11" s="344">
        <f t="shared" ref="G11:G13" si="1">F11/60</f>
        <v>6.3899461106399963E-2</v>
      </c>
      <c r="H11" s="13"/>
      <c r="I11" s="13"/>
    </row>
    <row r="12" spans="1:9">
      <c r="A12" s="340" t="str">
        <f>Zones!A5</f>
        <v>BasementService</v>
      </c>
      <c r="B12" s="346" t="s">
        <v>151</v>
      </c>
      <c r="C12" s="341">
        <f>Zones!G5*Zones!I5</f>
        <v>6389.9461106399949</v>
      </c>
      <c r="D12" s="342">
        <f>Zones!J5*Zones!I5</f>
        <v>19.169838331919987</v>
      </c>
      <c r="E12" s="454">
        <v>0.57799999999999996</v>
      </c>
      <c r="F12" s="342">
        <f t="shared" si="0"/>
        <v>11.080166555849752</v>
      </c>
      <c r="G12" s="344">
        <f t="shared" si="1"/>
        <v>0.18466944259749588</v>
      </c>
      <c r="H12" s="13"/>
      <c r="I12" s="13"/>
    </row>
    <row r="13" spans="1:9">
      <c r="A13" s="340" t="str">
        <f>Zones!A6</f>
        <v>BasementStorage</v>
      </c>
      <c r="B13" s="346" t="s">
        <v>151</v>
      </c>
      <c r="C13" s="341">
        <f>Zones!G6*Zones!I6</f>
        <v>3194.9730553199975</v>
      </c>
      <c r="D13" s="342">
        <f>Zones!J6*Zones!I6</f>
        <v>0</v>
      </c>
      <c r="E13" s="454">
        <v>0</v>
      </c>
      <c r="F13" s="342">
        <f t="shared" si="0"/>
        <v>0</v>
      </c>
      <c r="G13" s="344">
        <f t="shared" si="1"/>
        <v>0</v>
      </c>
      <c r="H13" s="13"/>
      <c r="I13" s="13"/>
    </row>
    <row r="14" spans="1:9">
      <c r="A14" s="340" t="str">
        <f>Zones!A7</f>
        <v>Retail_1_FloorG</v>
      </c>
      <c r="B14" s="346" t="s">
        <v>151</v>
      </c>
      <c r="C14" s="341">
        <f>Zones!G7*Zones!I7</f>
        <v>721.93111694052288</v>
      </c>
      <c r="D14" s="342">
        <f>Zones!J7*Zones!I7</f>
        <v>12.272828987988889</v>
      </c>
      <c r="E14" s="454">
        <v>0.18</v>
      </c>
      <c r="F14" s="342">
        <f t="shared" ref="F14:F34" si="2">D14*E14</f>
        <v>2.2091092178379999</v>
      </c>
      <c r="G14" s="344">
        <f t="shared" ref="G14:G34" si="3">F14/60</f>
        <v>3.6818486963966661E-2</v>
      </c>
    </row>
    <row r="15" spans="1:9">
      <c r="A15" s="340" t="str">
        <f>Zones!A8</f>
        <v>Retail_2_FloorG</v>
      </c>
      <c r="B15" s="346" t="s">
        <v>151</v>
      </c>
      <c r="C15" s="341">
        <f>Zones!G8*Zones!I8</f>
        <v>836.02787912286294</v>
      </c>
      <c r="D15" s="342">
        <f>Zones!J8*Zones!I8</f>
        <v>14.21247394508867</v>
      </c>
      <c r="E15" s="454">
        <v>0.18</v>
      </c>
      <c r="F15" s="342">
        <f t="shared" si="2"/>
        <v>2.5582453101159603</v>
      </c>
      <c r="G15" s="344">
        <f t="shared" si="3"/>
        <v>4.2637421835266004E-2</v>
      </c>
    </row>
    <row r="16" spans="1:9">
      <c r="A16" s="340" t="str">
        <f>Zones!A9</f>
        <v>Mech_FloorG</v>
      </c>
      <c r="B16" s="346" t="s">
        <v>151</v>
      </c>
      <c r="C16" s="341">
        <f>Zones!G9*Zones!I9</f>
        <v>1767.853983096936</v>
      </c>
      <c r="D16" s="342">
        <f>Zones!J9*Zones!I9</f>
        <v>0</v>
      </c>
      <c r="E16" s="454">
        <v>0.18</v>
      </c>
      <c r="F16" s="342">
        <f t="shared" si="2"/>
        <v>0</v>
      </c>
      <c r="G16" s="344">
        <f>F16/60</f>
        <v>0</v>
      </c>
    </row>
    <row r="17" spans="1:7">
      <c r="A17" s="340" t="str">
        <f>Zones!A10</f>
        <v>Storage_FloorG</v>
      </c>
      <c r="B17" s="345" t="s">
        <v>84</v>
      </c>
      <c r="C17" s="341">
        <f>Zones!G10*Zones!I10</f>
        <v>1019.981998528164</v>
      </c>
      <c r="D17" s="342">
        <f>Zones!J10*Zones!I10</f>
        <v>0</v>
      </c>
      <c r="E17" s="455">
        <v>0</v>
      </c>
      <c r="F17" s="342">
        <f t="shared" si="2"/>
        <v>0</v>
      </c>
      <c r="G17" s="344">
        <f t="shared" si="3"/>
        <v>0</v>
      </c>
    </row>
    <row r="18" spans="1:7">
      <c r="A18" s="340" t="str">
        <f>Zones!A11</f>
        <v>Laundry_FloorG</v>
      </c>
      <c r="B18" s="346" t="s">
        <v>151</v>
      </c>
      <c r="C18" s="341">
        <f>Zones!G11*Zones!I11</f>
        <v>840.01050195375603</v>
      </c>
      <c r="D18" s="342">
        <f>Zones!J11*Zones!I11</f>
        <v>4.2000525097687804</v>
      </c>
      <c r="E18" s="455">
        <v>0.57799999999999996</v>
      </c>
      <c r="F18" s="342">
        <f t="shared" si="2"/>
        <v>2.4276303506463548</v>
      </c>
      <c r="G18" s="344">
        <f t="shared" si="3"/>
        <v>4.0460505844105911E-2</v>
      </c>
    </row>
    <row r="19" spans="1:7">
      <c r="A19" s="340" t="str">
        <f>Zones!A12</f>
        <v>Cafe_FloorG</v>
      </c>
      <c r="B19" s="346" t="s">
        <v>151</v>
      </c>
      <c r="C19" s="341">
        <f>Zones!G12*Zones!I12</f>
        <v>2032.8598590336539</v>
      </c>
      <c r="D19" s="342">
        <f>Zones!J12*Zones!I12</f>
        <v>67.084375348110584</v>
      </c>
      <c r="E19" s="455">
        <v>0.57799999999999996</v>
      </c>
      <c r="F19" s="342">
        <f t="shared" si="2"/>
        <v>38.774768951207918</v>
      </c>
      <c r="G19" s="344">
        <f t="shared" si="3"/>
        <v>0.64624614918679868</v>
      </c>
    </row>
    <row r="20" spans="1:7">
      <c r="A20" s="340" t="str">
        <f>Zones!A13</f>
        <v>Lobby_FloorG</v>
      </c>
      <c r="B20" s="346" t="s">
        <v>151</v>
      </c>
      <c r="C20" s="341">
        <f>Zones!G13*Zones!I13</f>
        <v>14081.155030124091</v>
      </c>
      <c r="D20" s="342">
        <f>Zones!J13*Zones!I13</f>
        <v>140.81155030124091</v>
      </c>
      <c r="E20" s="455">
        <v>0.09</v>
      </c>
      <c r="F20" s="342">
        <f t="shared" si="2"/>
        <v>12.673039527111682</v>
      </c>
      <c r="G20" s="344">
        <f t="shared" si="3"/>
        <v>0.21121732545186137</v>
      </c>
    </row>
    <row r="21" spans="1:7">
      <c r="A21" s="340" t="str">
        <f>Zones!A14</f>
        <v>GuestRoom_1_FloorM</v>
      </c>
      <c r="B21" s="346" t="s">
        <v>151</v>
      </c>
      <c r="C21" s="341">
        <f>Zones!G14*Zones!I14</f>
        <v>2520.0315058612682</v>
      </c>
      <c r="D21" s="342">
        <f>Zones!J14*Zones!I14</f>
        <v>7.5600945175838046</v>
      </c>
      <c r="E21" s="455">
        <v>4.4800000000000004</v>
      </c>
      <c r="F21" s="342">
        <f t="shared" si="2"/>
        <v>33.86922343877545</v>
      </c>
      <c r="G21" s="344">
        <f t="shared" si="3"/>
        <v>0.56448705731292415</v>
      </c>
    </row>
    <row r="22" spans="1:7">
      <c r="A22" s="340" t="str">
        <f>Zones!A15</f>
        <v>GuestRoom_2_FloorM</v>
      </c>
      <c r="B22" s="346" t="s">
        <v>151</v>
      </c>
      <c r="C22" s="341">
        <f>Zones!G15*Zones!I15</f>
        <v>2520.0315058612682</v>
      </c>
      <c r="D22" s="342">
        <f>Zones!J15*Zones!I15</f>
        <v>7.5600945175838046</v>
      </c>
      <c r="E22" s="455">
        <v>4.4800000000000004</v>
      </c>
      <c r="F22" s="342">
        <f t="shared" si="2"/>
        <v>33.86922343877545</v>
      </c>
      <c r="G22" s="344">
        <f t="shared" si="3"/>
        <v>0.56448705731292415</v>
      </c>
    </row>
    <row r="23" spans="1:7">
      <c r="A23" s="340" t="str">
        <f>Zones!A16</f>
        <v>GuestRoom_3_Multi19_FloorM</v>
      </c>
      <c r="B23" s="346" t="s">
        <v>151</v>
      </c>
      <c r="C23" s="341">
        <f>Zones!G16*Zones!I16</f>
        <v>30087.962018212387</v>
      </c>
      <c r="D23" s="342">
        <f>Zones!J16*Zones!I16</f>
        <v>90.263886054637155</v>
      </c>
      <c r="E23" s="455">
        <v>4.4800000000000004</v>
      </c>
      <c r="F23" s="342">
        <f t="shared" si="2"/>
        <v>404.38220952477451</v>
      </c>
      <c r="G23" s="344">
        <f t="shared" si="3"/>
        <v>6.7397034920795749</v>
      </c>
    </row>
    <row r="24" spans="1:7">
      <c r="A24" s="340" t="str">
        <f>Zones!A17</f>
        <v>GuestRoom_4_Multi19_FloorM</v>
      </c>
      <c r="B24" s="346" t="s">
        <v>151</v>
      </c>
      <c r="C24" s="341">
        <f>Zones!G17*Zones!I17</f>
        <v>30100.232802069735</v>
      </c>
      <c r="D24" s="342">
        <f>Zones!J17*Zones!I17</f>
        <v>90.300698406209207</v>
      </c>
      <c r="E24" s="455">
        <v>4.4800000000000004</v>
      </c>
      <c r="F24" s="342">
        <f t="shared" si="2"/>
        <v>404.54712885981729</v>
      </c>
      <c r="G24" s="344">
        <f t="shared" si="3"/>
        <v>6.7424521476636219</v>
      </c>
    </row>
    <row r="25" spans="1:7">
      <c r="A25" s="340" t="str">
        <f>Zones!A18</f>
        <v>GuestRoom_5_FloorM</v>
      </c>
      <c r="B25" s="346" t="s">
        <v>151</v>
      </c>
      <c r="C25" s="341">
        <f>Zones!G18*Zones!I18</f>
        <v>2520.0315058612682</v>
      </c>
      <c r="D25" s="342">
        <f>Zones!J18*Zones!I18</f>
        <v>7.5600945175838046</v>
      </c>
      <c r="E25" s="455">
        <v>4.4800000000000004</v>
      </c>
      <c r="F25" s="342">
        <f t="shared" si="2"/>
        <v>33.86922343877545</v>
      </c>
      <c r="G25" s="344">
        <f t="shared" si="3"/>
        <v>0.56448705731292415</v>
      </c>
    </row>
    <row r="26" spans="1:7">
      <c r="A26" s="340" t="str">
        <f>Zones!A19</f>
        <v>GuestRoom_6_FloorM</v>
      </c>
      <c r="B26" s="346" t="s">
        <v>151</v>
      </c>
      <c r="C26" s="341">
        <f>Zones!G19*Zones!I19</f>
        <v>2520.0315058612682</v>
      </c>
      <c r="D26" s="342">
        <f>Zones!J19*Zones!I19</f>
        <v>7.5600945175838046</v>
      </c>
      <c r="E26" s="455">
        <v>4.4800000000000004</v>
      </c>
      <c r="F26" s="342">
        <f t="shared" si="2"/>
        <v>33.86922343877545</v>
      </c>
      <c r="G26" s="344">
        <f t="shared" si="3"/>
        <v>0.56448705731292415</v>
      </c>
    </row>
    <row r="27" spans="1:7" ht="13.9">
      <c r="A27" s="340" t="str">
        <f>Zones!A20</f>
        <v>Corridor_FloorM</v>
      </c>
      <c r="B27" s="347" t="s">
        <v>84</v>
      </c>
      <c r="C27" s="341">
        <f>Zones!G20*Zones!I20</f>
        <v>25148.648600265959</v>
      </c>
      <c r="D27" s="342">
        <f>Zones!J20*Zones!I20</f>
        <v>125.74324300132977</v>
      </c>
      <c r="E27" s="344">
        <v>0</v>
      </c>
      <c r="F27" s="342">
        <f t="shared" si="2"/>
        <v>0</v>
      </c>
      <c r="G27" s="344">
        <f t="shared" si="3"/>
        <v>0</v>
      </c>
    </row>
    <row r="28" spans="1:7">
      <c r="A28" s="340" t="str">
        <f>Zones!A21</f>
        <v>GuestRoom_1_FloorT</v>
      </c>
      <c r="B28" s="346" t="s">
        <v>151</v>
      </c>
      <c r="C28" s="341">
        <f>Zones!G21*Zones!I21</f>
        <v>420.00525097687802</v>
      </c>
      <c r="D28" s="342">
        <f>Zones!J21*Zones!I21</f>
        <v>1.2600157529306342</v>
      </c>
      <c r="E28" s="455">
        <v>4.4800000000000004</v>
      </c>
      <c r="F28" s="342">
        <f t="shared" si="2"/>
        <v>5.6448705731292419</v>
      </c>
      <c r="G28" s="344">
        <f t="shared" si="3"/>
        <v>9.40811762188207E-2</v>
      </c>
    </row>
    <row r="29" spans="1:7">
      <c r="A29" s="340" t="str">
        <f>Zones!A22</f>
        <v>GuestRoom_2_FloorT</v>
      </c>
      <c r="B29" s="346" t="s">
        <v>151</v>
      </c>
      <c r="C29" s="341">
        <f>Zones!G22*Zones!I22</f>
        <v>420.00525097687802</v>
      </c>
      <c r="D29" s="342">
        <f>Zones!J22*Zones!I22</f>
        <v>1.2600157529306342</v>
      </c>
      <c r="E29" s="455">
        <v>4.4800000000000004</v>
      </c>
      <c r="F29" s="342">
        <f t="shared" si="2"/>
        <v>5.6448705731292419</v>
      </c>
      <c r="G29" s="344">
        <f t="shared" si="3"/>
        <v>9.40811762188207E-2</v>
      </c>
    </row>
    <row r="30" spans="1:7">
      <c r="A30" s="340" t="str">
        <f>Zones!A23</f>
        <v>GuestRoom_3_Multi9_FloorT</v>
      </c>
      <c r="B30" s="346" t="s">
        <v>151</v>
      </c>
      <c r="C30" s="341">
        <f>Zones!G23*Zones!I23</f>
        <v>2376.334168584453</v>
      </c>
      <c r="D30" s="342">
        <f>Zones!J23*Zones!I23</f>
        <v>7.129002505753359</v>
      </c>
      <c r="E30" s="455">
        <v>4.4800000000000004</v>
      </c>
      <c r="F30" s="342">
        <f t="shared" si="2"/>
        <v>31.937931225775053</v>
      </c>
      <c r="G30" s="344">
        <f t="shared" si="3"/>
        <v>0.53229885376291752</v>
      </c>
    </row>
    <row r="31" spans="1:7">
      <c r="A31" s="340" t="str">
        <f>Zones!A24</f>
        <v>Banquet_FloorT</v>
      </c>
      <c r="B31" s="346" t="s">
        <v>151</v>
      </c>
      <c r="C31" s="341">
        <f>Zones!G24*Zones!I24</f>
        <v>3569.9369948485742</v>
      </c>
      <c r="D31" s="342">
        <f>Zones!J24*Zones!I24</f>
        <v>117.80792083000294</v>
      </c>
      <c r="E31" s="455">
        <v>0.57799999999999996</v>
      </c>
      <c r="F31" s="342">
        <f t="shared" si="2"/>
        <v>68.092978239741697</v>
      </c>
      <c r="G31" s="344">
        <f t="shared" si="3"/>
        <v>1.1348829706623615</v>
      </c>
    </row>
    <row r="32" spans="1:7">
      <c r="A32" s="340" t="str">
        <f>Zones!A25</f>
        <v>Dining_FloorT</v>
      </c>
      <c r="B32" s="346" t="s">
        <v>151</v>
      </c>
      <c r="C32" s="341">
        <f>Zones!G25*Zones!I25</f>
        <v>3569.9369948485742</v>
      </c>
      <c r="D32" s="342">
        <f>Zones!J25*Zones!I25</f>
        <v>117.80792083000294</v>
      </c>
      <c r="E32" s="455">
        <v>0.57799999999999996</v>
      </c>
      <c r="F32" s="342">
        <f t="shared" si="2"/>
        <v>68.092978239741697</v>
      </c>
      <c r="G32" s="344">
        <f t="shared" si="3"/>
        <v>1.1348829706623615</v>
      </c>
    </row>
    <row r="33" spans="1:11">
      <c r="A33" s="340" t="str">
        <f>Zones!A26</f>
        <v>Kitchen_FloorT</v>
      </c>
      <c r="B33" s="346" t="s">
        <v>151</v>
      </c>
      <c r="C33" s="341">
        <f>Zones!G26*Zones!I26</f>
        <v>1111.9052390033698</v>
      </c>
      <c r="D33" s="342">
        <f>Zones!J26*Zones!I26</f>
        <v>3.3357157170101095</v>
      </c>
      <c r="E33" s="455">
        <v>0.57799999999999996</v>
      </c>
      <c r="F33" s="342">
        <f t="shared" si="2"/>
        <v>1.9280436844318432</v>
      </c>
      <c r="G33" s="344">
        <f t="shared" si="3"/>
        <v>3.2134061407197385E-2</v>
      </c>
    </row>
    <row r="34" spans="1:11">
      <c r="A34" s="340" t="str">
        <f>Zones!A27</f>
        <v>Corridor_FloorT</v>
      </c>
      <c r="B34" s="343"/>
      <c r="C34" s="341">
        <f>Zones!G27*Zones!I27</f>
        <v>4435.9960028854675</v>
      </c>
      <c r="D34" s="342">
        <f>Zones!J27*Zones!I27</f>
        <v>22.17998001442734</v>
      </c>
      <c r="E34" s="343">
        <v>0</v>
      </c>
      <c r="F34" s="342">
        <f t="shared" si="2"/>
        <v>0</v>
      </c>
      <c r="G34" s="344">
        <f t="shared" si="3"/>
        <v>0</v>
      </c>
    </row>
    <row r="40" spans="1:11" ht="18" customHeight="1">
      <c r="A40" s="901" t="s">
        <v>579</v>
      </c>
      <c r="B40" s="901"/>
      <c r="C40" s="901"/>
      <c r="D40" s="901"/>
      <c r="E40" s="901"/>
      <c r="F40" s="901"/>
      <c r="G40" s="901"/>
      <c r="H40" s="901"/>
      <c r="I40" s="901"/>
      <c r="J40" s="901"/>
    </row>
    <row r="41" spans="1:11" ht="42" customHeight="1">
      <c r="A41" s="348" t="s">
        <v>566</v>
      </c>
      <c r="B41" s="792" t="s">
        <v>577</v>
      </c>
      <c r="C41" s="792" t="s">
        <v>580</v>
      </c>
      <c r="D41" s="792" t="s">
        <v>581</v>
      </c>
      <c r="E41" s="792" t="s">
        <v>582</v>
      </c>
      <c r="F41" s="792" t="s">
        <v>583</v>
      </c>
      <c r="G41" s="985" t="s">
        <v>584</v>
      </c>
      <c r="H41" s="985"/>
      <c r="I41" s="792" t="s">
        <v>585</v>
      </c>
      <c r="J41" s="349" t="s">
        <v>233</v>
      </c>
      <c r="K41" s="176"/>
    </row>
    <row r="42" spans="1:11" ht="19.899999999999999" customHeight="1">
      <c r="A42" s="350" t="s">
        <v>586</v>
      </c>
      <c r="B42" s="351">
        <f>SUMIFS(F10:F34,B10:B34,"Gas")</f>
        <v>1266.3187530955222</v>
      </c>
      <c r="C42" s="351">
        <f>B42*($B$46-B47)*8.2877*1</f>
        <v>787115.24475223187</v>
      </c>
      <c r="D42" s="351">
        <f>C42*B48</f>
        <v>472269.14685133909</v>
      </c>
      <c r="E42" s="342">
        <f>D42/$C$3</f>
        <v>590336.43356417387</v>
      </c>
      <c r="F42" s="352">
        <f>ROUNDUP((B42*F44)/B44,0)</f>
        <v>507</v>
      </c>
      <c r="G42" s="441">
        <f>(E42/800)+110*SQRT(F42)</f>
        <v>3214.7531967787118</v>
      </c>
      <c r="H42" s="353" t="s">
        <v>587</v>
      </c>
      <c r="I42" s="441">
        <f>G42/B53</f>
        <v>47.275782305569294</v>
      </c>
      <c r="J42" s="983" t="s">
        <v>588</v>
      </c>
    </row>
    <row r="43" spans="1:11" ht="19.899999999999999" customHeight="1">
      <c r="A43" s="350" t="s">
        <v>589</v>
      </c>
      <c r="B43" s="351">
        <f>SUMIFS(F10:F34,B10:B34,"Electric")</f>
        <v>0</v>
      </c>
      <c r="C43" s="351">
        <f>B43*($B$46-B47)*8.2877*1</f>
        <v>0</v>
      </c>
      <c r="D43" s="351">
        <f>C43*B48</f>
        <v>0</v>
      </c>
      <c r="E43" s="342">
        <f>D43/1</f>
        <v>0</v>
      </c>
      <c r="F43" s="352">
        <f>ROUNDUP((B43*F44)/B44,0)</f>
        <v>0</v>
      </c>
      <c r="G43" s="469">
        <f>IFERROR(0.3+(27/F43),0)</f>
        <v>0</v>
      </c>
      <c r="H43" s="353" t="s">
        <v>590</v>
      </c>
      <c r="I43" s="469">
        <f>0.0834*G43*F43</f>
        <v>0</v>
      </c>
      <c r="J43" s="984"/>
    </row>
    <row r="44" spans="1:11" ht="16.899999999999999" customHeight="1">
      <c r="A44" s="354" t="s">
        <v>591</v>
      </c>
      <c r="B44" s="351">
        <f>B42+B43</f>
        <v>1266.3187530955222</v>
      </c>
      <c r="C44" s="355"/>
      <c r="D44" s="355"/>
      <c r="E44" s="342"/>
      <c r="F44" s="352">
        <f>B44*1*B49</f>
        <v>506.52750123820891</v>
      </c>
      <c r="G44" s="356"/>
      <c r="H44" s="353"/>
      <c r="I44" s="356"/>
      <c r="J44" s="984"/>
    </row>
    <row r="46" spans="1:11" ht="27.75" customHeight="1">
      <c r="A46" s="10" t="s">
        <v>592</v>
      </c>
      <c r="B46" s="781">
        <v>130</v>
      </c>
      <c r="C46" s="10" t="s">
        <v>593</v>
      </c>
      <c r="F46" s="465" t="s">
        <v>594</v>
      </c>
      <c r="G46" s="466">
        <f>(B44*(B46-B47)*8.2877*1)*B48/C3</f>
        <v>590336.43356417387</v>
      </c>
      <c r="H46" s="467" t="s">
        <v>595</v>
      </c>
      <c r="I46" s="761">
        <f>G47/B53</f>
        <v>47.275782305569294</v>
      </c>
    </row>
    <row r="47" spans="1:11">
      <c r="A47" s="10" t="s">
        <v>596</v>
      </c>
      <c r="B47" s="781">
        <v>55</v>
      </c>
      <c r="C47" s="10" t="s">
        <v>597</v>
      </c>
      <c r="F47" s="427" t="s">
        <v>598</v>
      </c>
      <c r="G47" s="443">
        <f>(G46/800)+110*SQRT(ROUNDUP(F44,0))</f>
        <v>3214.7531967787118</v>
      </c>
      <c r="H47" s="442" t="s">
        <v>587</v>
      </c>
      <c r="I47" s="628"/>
    </row>
    <row r="48" spans="1:11" ht="14.45">
      <c r="A48" t="s">
        <v>599</v>
      </c>
      <c r="B48" s="781">
        <v>0.6</v>
      </c>
      <c r="C48" s="10" t="s">
        <v>597</v>
      </c>
    </row>
    <row r="49" spans="1:10">
      <c r="A49" s="10" t="s">
        <v>600</v>
      </c>
      <c r="B49" s="781">
        <v>0.4</v>
      </c>
      <c r="C49" s="10" t="s">
        <v>601</v>
      </c>
    </row>
    <row r="50" spans="1:10" ht="24.6" customHeight="1">
      <c r="A50" s="841" t="s">
        <v>602</v>
      </c>
      <c r="B50" s="841"/>
      <c r="C50" s="841"/>
      <c r="D50" s="841"/>
      <c r="E50" s="841"/>
      <c r="F50" s="841"/>
      <c r="G50" s="841"/>
      <c r="H50" s="841"/>
      <c r="I50" s="841"/>
      <c r="J50" s="841"/>
    </row>
    <row r="51" spans="1:10">
      <c r="A51" s="15"/>
      <c r="B51" s="15"/>
      <c r="C51" s="15"/>
      <c r="D51" s="15"/>
      <c r="E51" s="15"/>
      <c r="F51" s="15"/>
      <c r="G51" s="15"/>
      <c r="H51" s="15"/>
      <c r="I51" s="15"/>
      <c r="J51" s="15"/>
    </row>
    <row r="52" spans="1:10">
      <c r="A52" s="782"/>
      <c r="B52" s="782"/>
      <c r="C52" s="782"/>
      <c r="D52" s="782"/>
      <c r="E52" s="782"/>
      <c r="F52" s="782"/>
      <c r="G52" s="782"/>
      <c r="H52" s="782"/>
      <c r="I52" s="782"/>
      <c r="J52" s="782"/>
    </row>
    <row r="53" spans="1:10" ht="14.45">
      <c r="A53" t="s">
        <v>603</v>
      </c>
      <c r="B53" s="762">
        <v>68</v>
      </c>
      <c r="C53" s="782"/>
      <c r="D53" s="782"/>
      <c r="E53" s="782"/>
      <c r="F53" s="782"/>
      <c r="G53" s="782"/>
      <c r="H53" s="782"/>
      <c r="I53" s="782"/>
      <c r="J53" s="782"/>
    </row>
    <row r="54" spans="1:10" ht="14.45">
      <c r="A54" t="s">
        <v>604</v>
      </c>
      <c r="B54" s="762">
        <f>B46-B53</f>
        <v>62</v>
      </c>
      <c r="C54" s="782"/>
      <c r="D54" s="782"/>
      <c r="E54" s="782"/>
      <c r="F54" s="782"/>
      <c r="G54" s="782"/>
      <c r="H54" s="782"/>
      <c r="I54" s="782"/>
      <c r="J54" s="782"/>
    </row>
    <row r="55" spans="1:10">
      <c r="A55" s="782"/>
      <c r="B55" s="782"/>
      <c r="C55" s="782"/>
      <c r="D55" s="782"/>
      <c r="E55" s="782"/>
      <c r="F55" s="782"/>
      <c r="G55" s="782"/>
      <c r="H55" s="782"/>
      <c r="I55" s="782"/>
      <c r="J55" s="782"/>
    </row>
    <row r="58" spans="1:10" s="24" customFormat="1">
      <c r="A58" s="24" t="s">
        <v>95</v>
      </c>
      <c r="E58" s="25"/>
      <c r="F58" s="26"/>
      <c r="G58" s="27"/>
    </row>
    <row r="112" spans="1:1">
      <c r="A112" s="11" t="s">
        <v>605</v>
      </c>
    </row>
    <row r="123" spans="1:1">
      <c r="A123" s="316" t="s">
        <v>606</v>
      </c>
    </row>
  </sheetData>
  <mergeCells count="6">
    <mergeCell ref="A1:F1"/>
    <mergeCell ref="A50:J50"/>
    <mergeCell ref="J42:J44"/>
    <mergeCell ref="A8:G8"/>
    <mergeCell ref="G41:H41"/>
    <mergeCell ref="A40:J40"/>
  </mergeCells>
  <conditionalFormatting sqref="B27">
    <cfRule type="expression" dxfId="0" priority="1">
      <formula>IF($AW27="X",TRUE,FALSE)</formula>
    </cfRule>
  </conditionalFormatting>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6AAB3-37D4-40C4-AD32-87DEB55DC747}">
  <sheetPr codeName="Sheet17"/>
  <dimension ref="A1:M61"/>
  <sheetViews>
    <sheetView zoomScale="85" zoomScaleNormal="85" workbookViewId="0">
      <selection sqref="A1:H1"/>
    </sheetView>
  </sheetViews>
  <sheetFormatPr defaultColWidth="8.7109375" defaultRowHeight="13.15"/>
  <cols>
    <col min="1" max="1" width="38" style="10" customWidth="1"/>
    <col min="2" max="2" width="20.5703125" style="10" customWidth="1"/>
    <col min="3" max="3" width="28.28515625" style="10" customWidth="1"/>
    <col min="4" max="4" width="18.5703125" style="10" customWidth="1"/>
    <col min="5" max="5" width="20.28515625" style="10" customWidth="1"/>
    <col min="6" max="6" width="22.140625" style="10" customWidth="1"/>
    <col min="7" max="7" width="19.28515625" style="10" customWidth="1"/>
    <col min="8" max="8" width="44.28515625" style="10" customWidth="1"/>
    <col min="9" max="10" width="32.28515625" style="10" customWidth="1"/>
    <col min="11" max="11" width="13.7109375" style="10" customWidth="1"/>
    <col min="12" max="12" width="22.85546875" style="10" customWidth="1"/>
    <col min="13" max="13" width="24" style="10" customWidth="1"/>
    <col min="14" max="14" width="10.5703125" style="10" customWidth="1"/>
    <col min="15" max="15" width="11.42578125" style="10" customWidth="1"/>
    <col min="16" max="16" width="10.5703125" style="10" customWidth="1"/>
    <col min="17" max="17" width="13.28515625" style="10" customWidth="1"/>
    <col min="18" max="18" width="9.7109375" style="10" customWidth="1"/>
    <col min="19" max="19" width="9.42578125" style="10" customWidth="1"/>
    <col min="20" max="20" width="12.7109375" style="10" customWidth="1"/>
    <col min="21" max="21" width="14.7109375" style="10" customWidth="1"/>
    <col min="22" max="22" width="20.7109375" style="10" customWidth="1"/>
    <col min="23" max="23" width="19.7109375" style="10" customWidth="1"/>
    <col min="24" max="29" width="8.7109375" style="10"/>
    <col min="30" max="30" width="13.7109375" style="10" bestFit="1" customWidth="1"/>
    <col min="31" max="16384" width="8.7109375" style="10"/>
  </cols>
  <sheetData>
    <row r="1" spans="1:13" ht="24.6" customHeight="1">
      <c r="A1" s="987" t="str">
        <f>"Interior Lighting - "&amp;Prototype!A2</f>
        <v>Interior Lighting - HotelLarge</v>
      </c>
      <c r="B1" s="901"/>
      <c r="C1" s="901"/>
      <c r="D1" s="901"/>
      <c r="E1" s="901"/>
      <c r="F1" s="901"/>
      <c r="G1" s="901"/>
      <c r="H1" s="901"/>
    </row>
    <row r="2" spans="1:13" ht="21.6" customHeight="1">
      <c r="A2" s="981" t="s">
        <v>167</v>
      </c>
      <c r="B2" s="986" t="s">
        <v>607</v>
      </c>
      <c r="C2" s="986"/>
      <c r="D2" s="986"/>
      <c r="E2" s="986" t="s">
        <v>400</v>
      </c>
      <c r="F2" s="986"/>
      <c r="G2" s="986"/>
      <c r="H2" s="986" t="s">
        <v>177</v>
      </c>
    </row>
    <row r="3" spans="1:13" ht="29.45" customHeight="1">
      <c r="A3" s="981"/>
      <c r="B3" s="804" t="s">
        <v>608</v>
      </c>
      <c r="C3" s="804" t="s">
        <v>609</v>
      </c>
      <c r="D3" s="804" t="s">
        <v>233</v>
      </c>
      <c r="E3" s="804" t="s">
        <v>610</v>
      </c>
      <c r="F3" s="804" t="s">
        <v>609</v>
      </c>
      <c r="G3" s="804" t="s">
        <v>233</v>
      </c>
      <c r="H3" s="986"/>
      <c r="J3" s="12"/>
      <c r="K3" s="12"/>
      <c r="L3" s="12"/>
      <c r="M3" s="12"/>
    </row>
    <row r="4" spans="1:13" ht="37.15" customHeight="1">
      <c r="A4" s="634" t="s">
        <v>179</v>
      </c>
      <c r="B4" s="446">
        <f>Data!I84</f>
        <v>0.72750000000000004</v>
      </c>
      <c r="C4" s="805"/>
      <c r="D4" s="988" t="s">
        <v>611</v>
      </c>
      <c r="E4" s="446">
        <f>Data!J84</f>
        <v>0.77249999999999996</v>
      </c>
      <c r="F4" s="631"/>
      <c r="G4" s="988" t="s">
        <v>612</v>
      </c>
      <c r="H4" s="559" t="s">
        <v>613</v>
      </c>
      <c r="J4" s="779"/>
      <c r="K4" s="779"/>
      <c r="L4" s="14"/>
      <c r="M4" s="12"/>
    </row>
    <row r="5" spans="1:13" ht="37.15" customHeight="1">
      <c r="A5" s="635" t="s">
        <v>182</v>
      </c>
      <c r="B5" s="446">
        <v>0.6</v>
      </c>
      <c r="C5" s="805"/>
      <c r="D5" s="988"/>
      <c r="E5" s="446">
        <v>0.7</v>
      </c>
      <c r="F5" s="631"/>
      <c r="G5" s="988"/>
      <c r="H5" s="559"/>
      <c r="J5" s="779"/>
      <c r="K5" s="779"/>
      <c r="L5" s="14"/>
      <c r="M5" s="12"/>
    </row>
    <row r="6" spans="1:13" ht="37.15" customHeight="1">
      <c r="A6" s="753" t="s">
        <v>184</v>
      </c>
      <c r="B6" s="791">
        <v>0.95</v>
      </c>
      <c r="C6" s="805"/>
      <c r="D6" s="988"/>
      <c r="E6" s="791">
        <v>0.95</v>
      </c>
      <c r="F6" s="631"/>
      <c r="G6" s="988"/>
      <c r="H6" s="559" t="s">
        <v>614</v>
      </c>
      <c r="J6" s="779"/>
      <c r="K6" s="779"/>
      <c r="L6" s="14"/>
      <c r="M6" s="12"/>
    </row>
    <row r="7" spans="1:13" ht="39.6">
      <c r="A7" s="791" t="s">
        <v>190</v>
      </c>
      <c r="B7" s="791">
        <v>0.95</v>
      </c>
      <c r="C7" s="805">
        <v>0.1</v>
      </c>
      <c r="D7" s="988"/>
      <c r="E7" s="446">
        <v>1</v>
      </c>
      <c r="F7" s="427"/>
      <c r="G7" s="988"/>
      <c r="H7" s="559" t="s">
        <v>615</v>
      </c>
      <c r="J7" s="779"/>
      <c r="K7" s="779"/>
      <c r="L7" s="14"/>
      <c r="M7" s="12"/>
    </row>
    <row r="8" spans="1:13" ht="15" customHeight="1">
      <c r="A8" s="791" t="s">
        <v>193</v>
      </c>
      <c r="B8" s="446">
        <v>0.4</v>
      </c>
      <c r="C8" s="805"/>
      <c r="D8" s="988"/>
      <c r="E8" s="446">
        <f>B8+2</f>
        <v>2.4</v>
      </c>
      <c r="F8" s="427"/>
      <c r="G8" s="988"/>
      <c r="H8" s="427"/>
      <c r="J8" s="779"/>
      <c r="K8" s="779"/>
      <c r="L8" s="12"/>
      <c r="M8" s="12"/>
    </row>
    <row r="9" spans="1:13" ht="15" customHeight="1">
      <c r="A9" s="791" t="s">
        <v>187</v>
      </c>
      <c r="B9" s="447">
        <v>0.4</v>
      </c>
      <c r="C9" s="805"/>
      <c r="D9" s="988"/>
      <c r="E9" s="791">
        <v>0.4</v>
      </c>
      <c r="F9" s="448"/>
      <c r="G9" s="988"/>
      <c r="H9" s="427" t="s">
        <v>616</v>
      </c>
      <c r="J9" s="779"/>
      <c r="K9" s="779"/>
      <c r="L9" s="12"/>
      <c r="M9" s="12"/>
    </row>
    <row r="10" spans="1:13" ht="15" customHeight="1">
      <c r="A10" s="791" t="s">
        <v>196</v>
      </c>
      <c r="B10" s="791">
        <v>0.45</v>
      </c>
      <c r="C10" s="805"/>
      <c r="D10" s="988"/>
      <c r="E10" s="791">
        <v>0.45</v>
      </c>
      <c r="F10" s="427"/>
      <c r="G10" s="988"/>
      <c r="H10" s="427"/>
    </row>
    <row r="11" spans="1:13">
      <c r="A11" s="791" t="s">
        <v>198</v>
      </c>
      <c r="B11" s="791">
        <f>B16</f>
        <v>0.45</v>
      </c>
      <c r="C11" s="805"/>
      <c r="D11" s="988"/>
      <c r="E11" s="446">
        <v>0.55000000000000004</v>
      </c>
      <c r="F11" s="427"/>
      <c r="G11" s="988"/>
      <c r="H11" s="428" t="s">
        <v>617</v>
      </c>
    </row>
    <row r="12" spans="1:13" ht="15" customHeight="1">
      <c r="A12" s="791" t="s">
        <v>200</v>
      </c>
      <c r="B12" s="446">
        <v>0.7</v>
      </c>
      <c r="C12" s="805"/>
      <c r="D12" s="988"/>
      <c r="E12" s="449">
        <v>0.85</v>
      </c>
      <c r="F12" s="448"/>
      <c r="G12" s="988"/>
      <c r="H12" s="427"/>
    </row>
    <row r="13" spans="1:13" ht="26.45">
      <c r="A13" s="791" t="s">
        <v>204</v>
      </c>
      <c r="B13" s="791">
        <v>0.41</v>
      </c>
      <c r="C13" s="805"/>
      <c r="D13" s="988"/>
      <c r="E13" s="791">
        <v>1.27</v>
      </c>
      <c r="F13" s="427"/>
      <c r="G13" s="988"/>
      <c r="H13" s="559" t="s">
        <v>618</v>
      </c>
    </row>
    <row r="14" spans="1:13" ht="15" customHeight="1">
      <c r="A14" s="791" t="s">
        <v>213</v>
      </c>
      <c r="B14" s="446">
        <v>0.4</v>
      </c>
      <c r="C14" s="805"/>
      <c r="D14" s="988"/>
      <c r="E14" s="805">
        <v>0.6</v>
      </c>
      <c r="F14" s="427"/>
      <c r="G14" s="988"/>
      <c r="H14" s="412"/>
    </row>
    <row r="15" spans="1:13" ht="15" customHeight="1">
      <c r="A15" s="791" t="s">
        <v>218</v>
      </c>
      <c r="B15" s="791">
        <v>0.85</v>
      </c>
      <c r="C15" s="805"/>
      <c r="D15" s="988"/>
      <c r="E15" s="805">
        <v>0.85</v>
      </c>
      <c r="F15" s="427"/>
      <c r="G15" s="988"/>
      <c r="H15" s="412" t="s">
        <v>619</v>
      </c>
    </row>
    <row r="16" spans="1:13">
      <c r="A16" s="791" t="s">
        <v>221</v>
      </c>
      <c r="B16" s="791">
        <v>0.45</v>
      </c>
      <c r="C16" s="805"/>
      <c r="D16" s="988"/>
      <c r="E16" s="446">
        <f>E11</f>
        <v>0.55000000000000004</v>
      </c>
      <c r="F16" s="427"/>
      <c r="G16" s="988"/>
      <c r="H16" s="559" t="s">
        <v>617</v>
      </c>
    </row>
    <row r="17" spans="1:8" ht="15" customHeight="1">
      <c r="A17" s="791" t="s">
        <v>224</v>
      </c>
      <c r="B17" s="791">
        <v>0.95</v>
      </c>
      <c r="C17" s="805"/>
      <c r="D17" s="988"/>
      <c r="E17" s="791">
        <v>0.95</v>
      </c>
      <c r="F17" s="427"/>
      <c r="G17" s="988"/>
      <c r="H17" s="427"/>
    </row>
    <row r="18" spans="1:8" ht="15" customHeight="1">
      <c r="A18" s="14"/>
      <c r="B18" s="445"/>
      <c r="C18" s="172"/>
      <c r="D18" s="172"/>
      <c r="E18" s="445"/>
      <c r="G18" s="172"/>
    </row>
    <row r="19" spans="1:8" ht="14.45">
      <c r="A19" s="217" t="s">
        <v>620</v>
      </c>
      <c r="B19" s="290"/>
      <c r="C19" s="290"/>
      <c r="D19" s="290"/>
      <c r="E19" s="290"/>
      <c r="F19" s="236"/>
      <c r="G19" s="236"/>
      <c r="H19" s="276"/>
    </row>
    <row r="20" spans="1:8" ht="13.15" customHeight="1">
      <c r="B20" s="21"/>
      <c r="C20" s="21"/>
      <c r="D20" s="989"/>
      <c r="E20" s="989"/>
      <c r="F20" s="989"/>
      <c r="G20" s="989"/>
    </row>
    <row r="21" spans="1:8" ht="13.15" customHeight="1">
      <c r="A21" s="21"/>
      <c r="B21" s="21"/>
      <c r="C21" s="21"/>
      <c r="D21" s="21"/>
      <c r="E21" s="779"/>
      <c r="F21" s="21"/>
      <c r="G21" s="172"/>
      <c r="H21"/>
    </row>
    <row r="22" spans="1:8" ht="13.15" customHeight="1">
      <c r="A22" s="21"/>
      <c r="B22" s="21"/>
      <c r="C22" s="21"/>
      <c r="H22" s="171"/>
    </row>
    <row r="23" spans="1:8" ht="13.15" customHeight="1">
      <c r="A23" s="21"/>
      <c r="B23" s="21"/>
      <c r="C23" s="21"/>
      <c r="D23" s="21"/>
    </row>
    <row r="24" spans="1:8" ht="13.15" customHeight="1">
      <c r="B24" s="21"/>
      <c r="C24" s="21"/>
      <c r="D24" s="21"/>
      <c r="E24" s="21"/>
    </row>
    <row r="25" spans="1:8" ht="13.15" customHeight="1">
      <c r="B25" s="21"/>
      <c r="C25" s="21"/>
      <c r="D25" s="21"/>
      <c r="E25" s="21"/>
    </row>
    <row r="26" spans="1:8" ht="13.15" customHeight="1">
      <c r="B26" s="21"/>
      <c r="C26" s="21"/>
      <c r="D26" s="21"/>
      <c r="E26" s="21"/>
    </row>
    <row r="27" spans="1:8" ht="13.15" customHeight="1">
      <c r="B27" s="21"/>
      <c r="C27" s="21"/>
      <c r="D27" s="21"/>
      <c r="E27" s="21"/>
    </row>
    <row r="28" spans="1:8" s="24" customFormat="1" hidden="1">
      <c r="A28" s="24" t="s">
        <v>95</v>
      </c>
      <c r="F28" s="25"/>
      <c r="G28" s="26"/>
      <c r="H28" s="27"/>
    </row>
    <row r="29" spans="1:8" hidden="1"/>
    <row r="30" spans="1:8" hidden="1">
      <c r="B30" s="779"/>
      <c r="C30" s="779"/>
      <c r="D30" s="779"/>
    </row>
    <row r="31" spans="1:8" hidden="1">
      <c r="B31" s="779"/>
      <c r="C31" s="779"/>
      <c r="D31" s="779"/>
    </row>
    <row r="32" spans="1:8" hidden="1"/>
    <row r="33" spans="1:13" hidden="1"/>
    <row r="34" spans="1:13" hidden="1"/>
    <row r="35" spans="1:13" hidden="1"/>
    <row r="36" spans="1:13" hidden="1"/>
    <row r="37" spans="1:13" ht="15.6" hidden="1">
      <c r="A37" s="111" t="s">
        <v>621</v>
      </c>
      <c r="G37" s="111" t="s">
        <v>622</v>
      </c>
      <c r="M37" s="111" t="s">
        <v>623</v>
      </c>
    </row>
    <row r="38" spans="1:13" hidden="1"/>
    <row r="39" spans="1:13" hidden="1"/>
    <row r="40" spans="1:13" hidden="1"/>
    <row r="41" spans="1:13" hidden="1"/>
    <row r="42" spans="1:13" hidden="1"/>
    <row r="43" spans="1:13" hidden="1"/>
    <row r="44" spans="1:13" hidden="1"/>
    <row r="45" spans="1:13" hidden="1"/>
    <row r="46" spans="1:13" hidden="1"/>
    <row r="47" spans="1:13" hidden="1"/>
    <row r="48" spans="1:13" hidden="1"/>
    <row r="49" hidden="1"/>
    <row r="50" hidden="1"/>
    <row r="51" hidden="1"/>
    <row r="52" hidden="1"/>
    <row r="53" hidden="1"/>
    <row r="54" hidden="1"/>
    <row r="55" hidden="1"/>
    <row r="56" hidden="1"/>
    <row r="57" hidden="1"/>
    <row r="58" hidden="1"/>
    <row r="59" hidden="1"/>
    <row r="60" hidden="1"/>
    <row r="61" hidden="1"/>
  </sheetData>
  <mergeCells count="9">
    <mergeCell ref="F20:G20"/>
    <mergeCell ref="D20:E20"/>
    <mergeCell ref="H2:H3"/>
    <mergeCell ref="A1:H1"/>
    <mergeCell ref="A2:A3"/>
    <mergeCell ref="D4:D17"/>
    <mergeCell ref="B2:D2"/>
    <mergeCell ref="E2:G2"/>
    <mergeCell ref="G4:G17"/>
  </mergeCells>
  <phoneticPr fontId="8" type="noConversion"/>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789E0192-57EB-4179-8795-BE2AD0E6398A}">
          <x14:formula1>
            <xm:f>Data!$A$2:$A$200</xm:f>
          </x14:formula1>
          <xm:sqref>A4:A6</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03CFD1B72A5F084B90FB7B73F4613BEC" ma:contentTypeVersion="6" ma:contentTypeDescription="Create a new document." ma:contentTypeScope="" ma:versionID="2558ad62346f4e4f9cd41e24fac43610">
  <xsd:schema xmlns:xsd="http://www.w3.org/2001/XMLSchema" xmlns:xs="http://www.w3.org/2001/XMLSchema" xmlns:p="http://schemas.microsoft.com/office/2006/metadata/properties" xmlns:ns2="f3a47e91-274c-46a0-ba98-7b939b571e5b" xmlns:ns3="ea1b199f-450f-4d51-8ad4-88f218385cd9" targetNamespace="http://schemas.microsoft.com/office/2006/metadata/properties" ma:root="true" ma:fieldsID="7070cde7c6343b0e2bf1de7a4c91f34e" ns2:_="" ns3:_="">
    <xsd:import namespace="f3a47e91-274c-46a0-ba98-7b939b571e5b"/>
    <xsd:import namespace="ea1b199f-450f-4d51-8ad4-88f218385cd9"/>
    <xsd:element name="properties">
      <xsd:complexType>
        <xsd:sequence>
          <xsd:element name="documentManagement">
            <xsd:complexType>
              <xsd:all>
                <xsd:element ref="ns2:MediaServiceSearchProperties" minOccurs="0"/>
                <xsd:element ref="ns2:MediaServiceObjectDetectorVersions" minOccurs="0"/>
                <xsd:element ref="ns3:SharedWithUsers" minOccurs="0"/>
                <xsd:element ref="ns3:SharedWithDetails" minOccurs="0"/>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3a47e91-274c-46a0-ba98-7b939b571e5b" elementFormDefault="qualified">
    <xsd:import namespace="http://schemas.microsoft.com/office/2006/documentManagement/types"/>
    <xsd:import namespace="http://schemas.microsoft.com/office/infopath/2007/PartnerControls"/>
    <xsd:element name="MediaServiceSearchProperties" ma:index="8" nillable="true" ma:displayName="MediaServiceSearchProperties" ma:hidden="true" ma:internalName="MediaServiceSearchProperties" ma:readOnly="true">
      <xsd:simpleType>
        <xsd:restriction base="dms:Note"/>
      </xsd:simpleType>
    </xsd:element>
    <xsd:element name="MediaServiceObjectDetectorVersions" ma:index="9" nillable="true" ma:displayName="MediaServiceObjectDetectorVersions" ma:hidden="true" ma:indexed="true" ma:internalName="MediaServiceObjectDetectorVersions" ma:readOnly="true">
      <xsd:simpleType>
        <xsd:restriction base="dms:Text"/>
      </xsd:simpleType>
    </xsd:element>
    <xsd:element name="MediaServiceMetadata" ma:index="12" nillable="true" ma:displayName="MediaServiceMetadata" ma:hidden="true" ma:internalName="MediaServiceMetadata" ma:readOnly="true">
      <xsd:simpleType>
        <xsd:restriction base="dms:Note"/>
      </xsd:simpleType>
    </xsd:element>
    <xsd:element name="MediaServiceFastMetadata" ma:index="13" nillable="true" ma:displayName="MediaServiceFastMetadata" ma:hidden="true" ma:internalName="MediaServiceFast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ea1b199f-450f-4d51-8ad4-88f218385cd9"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20816333-575B-4274-8A3E-18699B071E90}"/>
</file>

<file path=customXml/itemProps2.xml><?xml version="1.0" encoding="utf-8"?>
<ds:datastoreItem xmlns:ds="http://schemas.openxmlformats.org/officeDocument/2006/customXml" ds:itemID="{7921AF10-0BF8-441A-BDBA-64AF3E09D45F}"/>
</file>

<file path=customXml/itemProps3.xml><?xml version="1.0" encoding="utf-8"?>
<ds:datastoreItem xmlns:ds="http://schemas.openxmlformats.org/officeDocument/2006/customXml" ds:itemID="{A072D8AD-11F4-46F9-AA55-A648C5D4F18D}"/>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Yousefi, Fatemeh</dc:creator>
  <cp:keywords/>
  <dc:description/>
  <cp:lastModifiedBy>Yousefi, Fatemeh</cp:lastModifiedBy>
  <cp:revision/>
  <dcterms:created xsi:type="dcterms:W3CDTF">2024-06-21T17:19:36Z</dcterms:created>
  <dcterms:modified xsi:type="dcterms:W3CDTF">2025-12-24T09:21:01Z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b7864bb8-b671-4bed-ba85-9478127ab5e9_Enabled">
    <vt:lpwstr>true</vt:lpwstr>
  </property>
  <property fmtid="{D5CDD505-2E9C-101B-9397-08002B2CF9AE}" pid="3" name="MSIP_Label_b7864bb8-b671-4bed-ba85-9478127ab5e9_SetDate">
    <vt:lpwstr>2024-06-21T17:19:48Z</vt:lpwstr>
  </property>
  <property fmtid="{D5CDD505-2E9C-101B-9397-08002B2CF9AE}" pid="4" name="MSIP_Label_b7864bb8-b671-4bed-ba85-9478127ab5e9_Method">
    <vt:lpwstr>Standard</vt:lpwstr>
  </property>
  <property fmtid="{D5CDD505-2E9C-101B-9397-08002B2CF9AE}" pid="5" name="MSIP_Label_b7864bb8-b671-4bed-ba85-9478127ab5e9_Name">
    <vt:lpwstr>Confidential – 2023</vt:lpwstr>
  </property>
  <property fmtid="{D5CDD505-2E9C-101B-9397-08002B2CF9AE}" pid="6" name="MSIP_Label_b7864bb8-b671-4bed-ba85-9478127ab5e9_SiteId">
    <vt:lpwstr>36839a65-7f3f-4bac-9ea4-f571f10a9a03</vt:lpwstr>
  </property>
  <property fmtid="{D5CDD505-2E9C-101B-9397-08002B2CF9AE}" pid="7" name="MSIP_Label_b7864bb8-b671-4bed-ba85-9478127ab5e9_ActionId">
    <vt:lpwstr>0e6e9a60-d2ab-4ce7-9a0a-ef72169e4f66</vt:lpwstr>
  </property>
  <property fmtid="{D5CDD505-2E9C-101B-9397-08002B2CF9AE}" pid="8" name="MSIP_Label_b7864bb8-b671-4bed-ba85-9478127ab5e9_ContentBits">
    <vt:lpwstr>0</vt:lpwstr>
  </property>
  <property fmtid="{D5CDD505-2E9C-101B-9397-08002B2CF9AE}" pid="9" name="MSIP_Label_aa7be39c-9e9f-446a-a199-286f73f56a3f_Enabled">
    <vt:lpwstr>true</vt:lpwstr>
  </property>
  <property fmtid="{D5CDD505-2E9C-101B-9397-08002B2CF9AE}" pid="10" name="MSIP_Label_aa7be39c-9e9f-446a-a199-286f73f56a3f_SetDate">
    <vt:lpwstr>2024-11-12T07:01:00Z</vt:lpwstr>
  </property>
  <property fmtid="{D5CDD505-2E9C-101B-9397-08002B2CF9AE}" pid="11" name="MSIP_Label_aa7be39c-9e9f-446a-a199-286f73f56a3f_Method">
    <vt:lpwstr>Standard</vt:lpwstr>
  </property>
  <property fmtid="{D5CDD505-2E9C-101B-9397-08002B2CF9AE}" pid="12" name="MSIP_Label_aa7be39c-9e9f-446a-a199-286f73f56a3f_Name">
    <vt:lpwstr>Confidential</vt:lpwstr>
  </property>
  <property fmtid="{D5CDD505-2E9C-101B-9397-08002B2CF9AE}" pid="13" name="MSIP_Label_aa7be39c-9e9f-446a-a199-286f73f56a3f_SiteId">
    <vt:lpwstr>85ad2a97-6942-4d5d-bc9c-35cd3905d69a</vt:lpwstr>
  </property>
  <property fmtid="{D5CDD505-2E9C-101B-9397-08002B2CF9AE}" pid="14" name="MSIP_Label_aa7be39c-9e9f-446a-a199-286f73f56a3f_ActionId">
    <vt:lpwstr>9aa52be7-e90f-4db3-9dfa-3134fb3d14a1</vt:lpwstr>
  </property>
  <property fmtid="{D5CDD505-2E9C-101B-9397-08002B2CF9AE}" pid="15" name="MSIP_Label_aa7be39c-9e9f-446a-a199-286f73f56a3f_ContentBits">
    <vt:lpwstr>0</vt:lpwstr>
  </property>
  <property fmtid="{D5CDD505-2E9C-101B-9397-08002B2CF9AE}" pid="16" name="ContentTypeId">
    <vt:lpwstr>0x01010003CFD1B72A5F084B90FB7B73F4613BEC</vt:lpwstr>
  </property>
  <property fmtid="{D5CDD505-2E9C-101B-9397-08002B2CF9AE}" pid="17" name="MediaServiceImageTags">
    <vt:lpwstr/>
  </property>
</Properties>
</file>